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075" tabRatio="785" activeTab="12"/>
  </bookViews>
  <sheets>
    <sheet name="ธ.ค.48" sheetId="1" r:id="rId1"/>
    <sheet name="ม.ค" sheetId="2" r:id="rId2"/>
    <sheet name="ก.พ" sheetId="3" r:id="rId3"/>
    <sheet name="มี.ค" sheetId="4" r:id="rId4"/>
    <sheet name="เม.ย" sheetId="5" r:id="rId5"/>
    <sheet name="พ.ค" sheetId="6" r:id="rId6"/>
    <sheet name="มิ.ย" sheetId="7" r:id="rId7"/>
    <sheet name="ก.ค" sheetId="8" r:id="rId8"/>
    <sheet name="ส.ค" sheetId="9" r:id="rId9"/>
    <sheet name="ก.ย" sheetId="10" r:id="rId10"/>
    <sheet name="ต.ค" sheetId="11" r:id="rId11"/>
    <sheet name="พ.ย" sheetId="12" r:id="rId12"/>
    <sheet name="ธ.ค." sheetId="13" r:id="rId13"/>
    <sheet name="Chart2" sheetId="14" r:id="rId14"/>
    <sheet name="data" sheetId="15" r:id="rId15"/>
  </sheets>
  <definedNames>
    <definedName name="_xlnm.Print_Area" localSheetId="7">'ก.ค'!$A$1:$J$34</definedName>
    <definedName name="_xlnm.Print_Area" localSheetId="2">'ก.พ'!$A$1:$J$33</definedName>
    <definedName name="_xlnm.Print_Area" localSheetId="9">'ก.ย'!$A$1:$J$34</definedName>
    <definedName name="_xlnm.Print_Area" localSheetId="10">'ต.ค'!$A$1:$J$34</definedName>
    <definedName name="_xlnm.Print_Area" localSheetId="12">'ธ.ค.'!$A$1:$J$34</definedName>
    <definedName name="_xlnm.Print_Area" localSheetId="0">'ธ.ค.48'!$A$1:$J$36</definedName>
    <definedName name="_xlnm.Print_Area" localSheetId="5">'พ.ค'!$A$1:$J$34</definedName>
    <definedName name="_xlnm.Print_Area" localSheetId="11">'พ.ย'!$A$1:$J$34</definedName>
    <definedName name="_xlnm.Print_Area" localSheetId="1">'ม.ค'!$A$1:$J$36</definedName>
    <definedName name="_xlnm.Print_Area" localSheetId="6">'มิ.ย'!$A$1:$J$34</definedName>
    <definedName name="_xlnm.Print_Area" localSheetId="3">'มี.ค'!$A$1:$J$34</definedName>
    <definedName name="_xlnm.Print_Area" localSheetId="4">'เม.ย'!$A$1:$J$34</definedName>
    <definedName name="_xlnm.Print_Area" localSheetId="8">'ส.ค'!$A$1:$J$34</definedName>
  </definedNames>
  <calcPr fullCalcOnLoad="1"/>
</workbook>
</file>

<file path=xl/sharedStrings.xml><?xml version="1.0" encoding="utf-8"?>
<sst xmlns="http://schemas.openxmlformats.org/spreadsheetml/2006/main" count="644" uniqueCount="90">
  <si>
    <t>ลำดับ</t>
  </si>
  <si>
    <t xml:space="preserve">บริษัท </t>
  </si>
  <si>
    <t>จำนวน</t>
  </si>
  <si>
    <t>%</t>
  </si>
  <si>
    <t>(กองทุน)</t>
  </si>
  <si>
    <t>จำนวนเงิน</t>
  </si>
  <si>
    <t>(ล้านบาท)</t>
  </si>
  <si>
    <t xml:space="preserve">% </t>
  </si>
  <si>
    <t xml:space="preserve">         เปลี่ยนแปลง</t>
  </si>
  <si>
    <t>จัดทำโดย:  สมาคมบริษัทจัดการลงทุน</t>
  </si>
  <si>
    <t>ที่มา:  บริษัทผู้จัดการกองทุนส่วนบุคคล</t>
  </si>
  <si>
    <t>รวม</t>
  </si>
  <si>
    <t>รายงานแสดงการจัดการกองทุนส่วนบุคคล</t>
  </si>
  <si>
    <r>
      <t>หมายเหตุ</t>
    </r>
    <r>
      <rPr>
        <sz val="14"/>
        <rFont val="AngsanaUPC"/>
        <family val="1"/>
      </rPr>
      <t xml:space="preserve">  **  บริษัทยังมิได้มีการจัดการกองทุนส่วนบุคคล</t>
    </r>
  </si>
  <si>
    <t xml:space="preserve"> ธนาคาร กรุงเทพ จำกัด (มหาชน)</t>
  </si>
  <si>
    <t xml:space="preserve"> ธนาคาร ไทยพาณิชย์ จำกัด (มหาชน)</t>
  </si>
  <si>
    <t xml:space="preserve"> ธนาคาร ทหารไทย จำกัด (มหาชน)</t>
  </si>
  <si>
    <t xml:space="preserve"> บริษัทหลักทรัพย์จัดการกองทุนรวม วรรณ จำกัด</t>
  </si>
  <si>
    <t xml:space="preserve"> บริษัทหลักทรัพย์จัดการกองทุนรวม บีโอเอ จำกัด</t>
  </si>
  <si>
    <t xml:space="preserve"> บริษัทหลักทรัพย์จัดการกองทุน ทิสโก้ จำกัด</t>
  </si>
  <si>
    <t xml:space="preserve"> บริษัทหลักทรัพย์จัดการกองทุน อยุธยาเจเอฟ จำกัด</t>
  </si>
  <si>
    <t xml:space="preserve"> บริษัทหลักทรัพย์จัดการกองทุน เอ็มเอฟซี จำกัด (มหาชน)</t>
  </si>
  <si>
    <t xml:space="preserve"> บริษัทหลักทรัพย์จัดการกองทุน กสิกรไทย จำกัด</t>
  </si>
  <si>
    <t xml:space="preserve"> บริษัทหลักทรัพย์จัดการกองทุน อเบอร์ดีน จำกัด  </t>
  </si>
  <si>
    <t xml:space="preserve"> บริษัทหลักทรัพย์จัดการกองทุน ไทยพาณิชย์ จำกัด</t>
  </si>
  <si>
    <t xml:space="preserve"> บริษัทหลักทรัพย์จัดการกองทุน กรุงไทย จำกัด (มหาชน)</t>
  </si>
  <si>
    <t xml:space="preserve"> บริษัทหลักทรัพย์จัดการกองทุน ไอเอ็นจี (ประเทศไทย) จำกัด</t>
  </si>
  <si>
    <t>เดือน / ปี</t>
  </si>
  <si>
    <t>เปลี่ยนแปลง</t>
  </si>
  <si>
    <t xml:space="preserve"> บริษัทหลักทรัพย์ ไทยพาณิชย์ จำกัด</t>
  </si>
  <si>
    <t xml:space="preserve"> บริษัทหลักทรัพย์ บัวหลวง จำกัด (มหาชน)</t>
  </si>
  <si>
    <t xml:space="preserve"> บริษัทหลักทรัพย์จัดการกองทุน แอสเซท พลัส จำกัด</t>
  </si>
  <si>
    <t xml:space="preserve"> บริษัทหลักทรัพย์จัดการกองทุน ซีมิโก้ ไนท์ ฟันด์ แมเนจเม้นท์ จำกัด</t>
  </si>
  <si>
    <t xml:space="preserve"> บริษัทหลักทรัพย์ กรุงศรีอยุธยา จำกัด  (มหาชน)</t>
  </si>
  <si>
    <t xml:space="preserve"> บริษัทหลักทรัพย์จัดการกองทุนรวม พรีมาเวสท์ จำกัด</t>
  </si>
  <si>
    <t xml:space="preserve"> บริษัทหลักทรัพย์จัดการกองทุน ฟินันซ่า  จำกัด</t>
  </si>
  <si>
    <t xml:space="preserve"> บริษัทหลักทรัพย์จัดการกองทุน ธนชาต จำกัด</t>
  </si>
  <si>
    <t>บริษัทหลักทรัพย์จัดการกองทุน บีที จำกัด</t>
  </si>
  <si>
    <t>วันที่เผยแพร่  : 26 ธันวาคม  2548</t>
  </si>
  <si>
    <t>พฤศจิกายน 2548</t>
  </si>
  <si>
    <t>ธันวาคม 2548</t>
  </si>
  <si>
    <t>ณ  31  ธันวาคม  2548</t>
  </si>
  <si>
    <t xml:space="preserve"> ธนาคารไทยธนาคาร จำกัด (มหาชน)   (ลาออกจากการเป็นสมาชิกกองทุน)</t>
  </si>
  <si>
    <t>ณ  31  มกราคม  2549</t>
  </si>
  <si>
    <t>มกราคม 2549</t>
  </si>
  <si>
    <t>วันที่เผยแพร่  : 24 กุมภาพันธ์  2549</t>
  </si>
  <si>
    <t xml:space="preserve"> บริษัทหลักทรัพย์จัดการกองทุน ยูโอบี (ไทย) จำกัด</t>
  </si>
  <si>
    <t xml:space="preserve"> ธนาคาร ไทยพาณิชย์ จำกัด (มหาชน) และ บริษัทหลักทรัพย์ ไทยพาณิชย์ จำกัด โอนย้ายกองทุนไปรวมกับ  บริษัทหลักทรัพย์จัดการกองทุน ไทยพาณิชย์ จำกัด  แล้ว</t>
  </si>
  <si>
    <t xml:space="preserve"> ธนาคาร ไทยพาณิชย์ จำกัด (มหาชน)  ลาออกจากการเป็นสมาชิกสมาคมกลุ่มธุรกิจกองทุนส่วนบุคคล ณ วันที่ 23 กุมภาพันธ์ 2549</t>
  </si>
  <si>
    <t>กุมภาพันธ์ 2549</t>
  </si>
  <si>
    <t>วันที่เผยแพร่  : 28 มีนาคม  2549</t>
  </si>
  <si>
    <t xml:space="preserve"> บริษัทหลักทรัพย์จัดการกองทุน เอสซีบี ควอนท์ จำกัด</t>
  </si>
  <si>
    <t xml:space="preserve"> บริษัทหลักทรัพย์จัดการกองทุน บีที จำกัด</t>
  </si>
  <si>
    <t>ณ  28 กุมภาพันธ์  2549</t>
  </si>
  <si>
    <r>
      <t>หมายเหตุ</t>
    </r>
    <r>
      <rPr>
        <sz val="14"/>
        <color indexed="9"/>
        <rFont val="AngsanaUPC"/>
        <family val="1"/>
      </rPr>
      <t xml:space="preserve">  **  บริษัทยังมิได้มีการจัดการกองทุนส่วนบุคคล</t>
    </r>
  </si>
  <si>
    <t>มีนาคม 2549</t>
  </si>
  <si>
    <t>ณ   31  มีนาคม  2549</t>
  </si>
  <si>
    <t xml:space="preserve"> บริษัทหลักทรัพท์จัดการกองทุน นครหลวงไทย จำกัด</t>
  </si>
  <si>
    <t xml:space="preserve"> บริษัท ไทยประกันชีวิต จำกัด</t>
  </si>
  <si>
    <t>วันที่เผยแพร่  : 25  เมษายน  2549</t>
  </si>
  <si>
    <t>ณ   30  เมษายน  2549</t>
  </si>
  <si>
    <t>เมษายน 2549</t>
  </si>
  <si>
    <t>วันที่เผยแพร่  : 26  พฤษภาคม  2549</t>
  </si>
  <si>
    <t>ณ   31 พฤษภาคม 2549</t>
  </si>
  <si>
    <t>พฤษภาคม 2549</t>
  </si>
  <si>
    <t>วันที่เผยแพร่  : 22  มิถุนายน  2549</t>
  </si>
  <si>
    <t>ณ   30 มิถุนายน 2549</t>
  </si>
  <si>
    <t>มิถุนายน 2549</t>
  </si>
  <si>
    <t>วันที่เผยแพร่  : 27  กรกฎาคม  2549</t>
  </si>
  <si>
    <t>ณ   31 กรกฎาคม 2549</t>
  </si>
  <si>
    <t>กรกฎาคม 2549</t>
  </si>
  <si>
    <t>วันที่เผยแพร่  : 29  สิงหาคม  2549</t>
  </si>
  <si>
    <t xml:space="preserve"> บริษัทหลักทรัพย์ ฟิลลิป (ประเทศไทย) จำกัด (มหาชน)</t>
  </si>
  <si>
    <t xml:space="preserve"> บริษัทหลักทรัพท์จัดการกองทุน นครหลวงไทย</t>
  </si>
  <si>
    <t>สิงหาคม 2549</t>
  </si>
  <si>
    <t>ณ   31 สิงหาคม 2549</t>
  </si>
  <si>
    <t>วันที่เผยแพร่  : 26 กันยายน  2549</t>
  </si>
  <si>
    <t>ณ   30 กันยายน 2549</t>
  </si>
  <si>
    <t>กันยายน 2549</t>
  </si>
  <si>
    <t>วันที่เผยแพร่  : 27  ตุลาคม  2549</t>
  </si>
  <si>
    <t xml:space="preserve"> บริษัทหลักทรัพย์จัดการกองทุน อยุธยา จำกัด</t>
  </si>
  <si>
    <t>ตุลาคม 2549</t>
  </si>
  <si>
    <t>ณ   31  ตุลาคม  2549</t>
  </si>
  <si>
    <t>วันที่เผยแพร่  : 27 พฤศจิกายน  2549</t>
  </si>
  <si>
    <t>ณ   30  พฤศจิกายน  2549</t>
  </si>
  <si>
    <t>พฤศจิกายน 2549</t>
  </si>
  <si>
    <t>วันที่เผยแพร่  : 27 ธันวาคม  2549</t>
  </si>
  <si>
    <t>ณ   31 ธันวาคม 2549</t>
  </si>
  <si>
    <t>ธันวาคม 2549</t>
  </si>
  <si>
    <t>วันที่เผยแพร่  : 25 มกราคม 2550</t>
  </si>
</sst>
</file>

<file path=xl/styles.xml><?xml version="1.0" encoding="utf-8"?>
<styleSheet xmlns="http://schemas.openxmlformats.org/spreadsheetml/2006/main">
  <numFmts count="5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6" formatCode="\t&quot;฿&quot;#,##0_);\(\t&quot;฿&quot;#,##0\)"/>
    <numFmt numFmtId="187" formatCode="\t&quot;฿&quot;#,##0_);[Red]\(\t&quot;฿&quot;#,##0\)"/>
    <numFmt numFmtId="188" formatCode="\t&quot;฿&quot;#,##0.00_);\(\t&quot;฿&quot;#,##0.00\)"/>
    <numFmt numFmtId="189" formatCode="\t&quot;฿&quot;#,##0.00_);[Red]\(\t&quot;฿&quot;#,##0.00\)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??_);_(@_)"/>
    <numFmt numFmtId="197" formatCode="_(* #,##0.00_);_(* \(#,##0.00\);_(* &quot;-&quot;??_);_(@_)"/>
    <numFmt numFmtId="198" formatCode="\t&quot;$&quot;#,##0_);\(\t&quot;$&quot;#,##0\)"/>
    <numFmt numFmtId="199" formatCode="\t&quot;$&quot;#,##0_);[Red]\(\t&quot;$&quot;#,##0\)"/>
    <numFmt numFmtId="200" formatCode="\t&quot;$&quot;#,##0.00_);\(\t&quot;$&quot;#,##0.00\)"/>
    <numFmt numFmtId="201" formatCode="\t&quot;$&quot;#,##0.00_);[Red]\(\t&quot;$&quot;#,##0.00\)"/>
    <numFmt numFmtId="202" formatCode="_-* #,##0.0_-;\-* #,##0.0_-;_-* &quot;-&quot;??_-;_-@_-"/>
    <numFmt numFmtId="203" formatCode="_-* #,##0_-;\-* #,##0_-;_-* &quot;-&quot;??_-;_-@_-"/>
    <numFmt numFmtId="204" formatCode="_-* #,##0.0_-;\-* #,##0.0_-;_-* &quot;-&quot;?_-;_-@_-"/>
    <numFmt numFmtId="205" formatCode="0.00_ ;[Red]\-0.00\ "/>
    <numFmt numFmtId="206" formatCode="0.00;[Red]0.00"/>
    <numFmt numFmtId="207" formatCode="0.0000"/>
    <numFmt numFmtId="208" formatCode="0.000"/>
    <numFmt numFmtId="209" formatCode="0.00000"/>
    <numFmt numFmtId="210" formatCode="#,##0.00;[Red]\-\(#,##0.00\)"/>
    <numFmt numFmtId="211" formatCode="#,##0.00;[Red]\(#,##0.00\)"/>
    <numFmt numFmtId="212" formatCode="0.0000000"/>
    <numFmt numFmtId="213" formatCode="0.000000"/>
    <numFmt numFmtId="214" formatCode="0.0"/>
    <numFmt numFmtId="215" formatCode="00000"/>
    <numFmt numFmtId="216" formatCode="ดดดด\ yy"/>
    <numFmt numFmtId="217" formatCode="#,##0.00;[Green]\(#,##0.00\)"/>
    <numFmt numFmtId="218" formatCode="#,##0.00;[Blue]\(#,##0.00\)"/>
    <numFmt numFmtId="219" formatCode="mmm\ yy"/>
    <numFmt numFmtId="220" formatCode="#,##0_ ;\-#,##0\ "/>
    <numFmt numFmtId="221" formatCode="t&quot;$&quot;#,##0_);\(t&quot;$&quot;#,##0\)"/>
    <numFmt numFmtId="222" formatCode="t&quot;$&quot;#,##0_);[Red]\(t&quot;$&quot;#,##0\)"/>
    <numFmt numFmtId="223" formatCode="t&quot;$&quot;#,##0.00_);\(t&quot;$&quot;#,##0.00\)"/>
    <numFmt numFmtId="224" formatCode="t&quot;$&quot;#,##0.00_);[Red]\(t&quot;$&quot;#,##0.00\)"/>
    <numFmt numFmtId="225" formatCode="_-* #,##0.0_-;\-* #,##0.0_-;_-* &quot;-&quot;_-;_-@_-"/>
    <numFmt numFmtId="226" formatCode="_-* #,##0.00_-;\-* #,##0.00_-;_-* &quot;-&quot;_-;_-@_-"/>
    <numFmt numFmtId="227" formatCode="_-* #,##0.000_-;\-* #,##0.000_-;_-* &quot;-&quot;??_-;_-@_-"/>
    <numFmt numFmtId="228" formatCode="_-* #,##0.0000_-;\-* #,##0.0000_-;_-* &quot;-&quot;??_-;_-@_-"/>
    <numFmt numFmtId="229" formatCode="ดดด\ yy"/>
  </numFmts>
  <fonts count="14">
    <font>
      <sz val="14"/>
      <name val="Cordia New"/>
      <family val="0"/>
    </font>
    <font>
      <sz val="14"/>
      <name val="AngsanaUPC"/>
      <family val="1"/>
    </font>
    <font>
      <b/>
      <sz val="16"/>
      <name val="AngsanaUPC"/>
      <family val="1"/>
    </font>
    <font>
      <sz val="16"/>
      <name val="AngsanaUPC"/>
      <family val="1"/>
    </font>
    <font>
      <b/>
      <u val="single"/>
      <sz val="14"/>
      <name val="AngsanaUPC"/>
      <family val="1"/>
    </font>
    <font>
      <b/>
      <sz val="12"/>
      <name val="AngsanaUPC"/>
      <family val="1"/>
    </font>
    <font>
      <sz val="12"/>
      <name val="AngsanaUPC"/>
      <family val="1"/>
    </font>
    <font>
      <b/>
      <sz val="15"/>
      <name val="AngsanaUPC"/>
      <family val="1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  <font>
      <sz val="14"/>
      <color indexed="16"/>
      <name val="Cordia New"/>
      <family val="2"/>
    </font>
    <font>
      <sz val="14"/>
      <color indexed="10"/>
      <name val="AngsanaUPC"/>
      <family val="1"/>
    </font>
    <font>
      <b/>
      <u val="single"/>
      <sz val="14"/>
      <color indexed="9"/>
      <name val="AngsanaUPC"/>
      <family val="1"/>
    </font>
    <font>
      <sz val="14"/>
      <color indexed="9"/>
      <name val="AngsanaUPC"/>
      <family val="1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203" fontId="3" fillId="0" borderId="2" xfId="15" applyNumberFormat="1" applyFont="1" applyBorder="1" applyAlignment="1">
      <alignment/>
    </xf>
    <xf numFmtId="203" fontId="3" fillId="0" borderId="3" xfId="15" applyNumberFormat="1" applyFont="1" applyBorder="1" applyAlignment="1">
      <alignment/>
    </xf>
    <xf numFmtId="203" fontId="2" fillId="0" borderId="4" xfId="15" applyNumberFormat="1" applyFont="1" applyBorder="1" applyAlignment="1">
      <alignment/>
    </xf>
    <xf numFmtId="40" fontId="1" fillId="0" borderId="0" xfId="0" applyNumberFormat="1" applyFont="1" applyAlignment="1">
      <alignment/>
    </xf>
    <xf numFmtId="0" fontId="3" fillId="0" borderId="5" xfId="0" applyFont="1" applyBorder="1" applyAlignment="1">
      <alignment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43" fontId="3" fillId="0" borderId="14" xfId="15" applyFont="1" applyBorder="1" applyAlignment="1">
      <alignment/>
    </xf>
    <xf numFmtId="0" fontId="1" fillId="0" borderId="1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203" fontId="2" fillId="0" borderId="0" xfId="15" applyNumberFormat="1" applyFont="1" applyBorder="1" applyAlignment="1">
      <alignment/>
    </xf>
    <xf numFmtId="43" fontId="2" fillId="0" borderId="0" xfId="15" applyNumberFormat="1" applyFont="1" applyBorder="1" applyAlignment="1">
      <alignment/>
    </xf>
    <xf numFmtId="43" fontId="2" fillId="0" borderId="0" xfId="0" applyNumberFormat="1" applyFont="1" applyBorder="1" applyAlignment="1">
      <alignment/>
    </xf>
    <xf numFmtId="40" fontId="2" fillId="0" borderId="0" xfId="15" applyNumberFormat="1" applyFont="1" applyBorder="1" applyAlignment="1">
      <alignment/>
    </xf>
    <xf numFmtId="40" fontId="2" fillId="0" borderId="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3" fillId="0" borderId="5" xfId="0" applyFont="1" applyFill="1" applyBorder="1" applyAlignment="1">
      <alignment/>
    </xf>
    <xf numFmtId="0" fontId="2" fillId="0" borderId="6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43" fontId="2" fillId="0" borderId="16" xfId="15" applyFont="1" applyBorder="1" applyAlignment="1">
      <alignment/>
    </xf>
    <xf numFmtId="43" fontId="2" fillId="0" borderId="17" xfId="15" applyFont="1" applyBorder="1" applyAlignment="1">
      <alignment/>
    </xf>
    <xf numFmtId="203" fontId="3" fillId="0" borderId="2" xfId="15" applyNumberFormat="1" applyFont="1" applyFill="1" applyBorder="1" applyAlignment="1">
      <alignment/>
    </xf>
    <xf numFmtId="43" fontId="3" fillId="0" borderId="14" xfId="15" applyFont="1" applyFill="1" applyBorder="1" applyAlignment="1">
      <alignment/>
    </xf>
    <xf numFmtId="43" fontId="3" fillId="0" borderId="18" xfId="15" applyFont="1" applyFill="1" applyBorder="1" applyAlignment="1">
      <alignment/>
    </xf>
    <xf numFmtId="43" fontId="3" fillId="0" borderId="19" xfId="15" applyFont="1" applyBorder="1" applyAlignment="1">
      <alignment/>
    </xf>
    <xf numFmtId="211" fontId="2" fillId="0" borderId="4" xfId="15" applyNumberFormat="1" applyFont="1" applyBorder="1" applyAlignment="1">
      <alignment/>
    </xf>
    <xf numFmtId="43" fontId="3" fillId="0" borderId="20" xfId="15" applyFont="1" applyFill="1" applyBorder="1" applyAlignment="1">
      <alignment/>
    </xf>
    <xf numFmtId="43" fontId="3" fillId="0" borderId="21" xfId="15" applyFont="1" applyFill="1" applyBorder="1" applyAlignment="1">
      <alignment/>
    </xf>
    <xf numFmtId="0" fontId="1" fillId="0" borderId="22" xfId="0" applyFont="1" applyBorder="1" applyAlignment="1">
      <alignment horizontal="center"/>
    </xf>
    <xf numFmtId="0" fontId="0" fillId="0" borderId="0" xfId="0" applyAlignment="1">
      <alignment horizontal="center"/>
    </xf>
    <xf numFmtId="216" fontId="0" fillId="0" borderId="0" xfId="0" applyNumberFormat="1" applyAlignment="1">
      <alignment horizontal="center"/>
    </xf>
    <xf numFmtId="43" fontId="0" fillId="0" borderId="0" xfId="15" applyAlignment="1">
      <alignment horizontal="center"/>
    </xf>
    <xf numFmtId="40" fontId="0" fillId="0" borderId="0" xfId="15" applyNumberFormat="1" applyAlignment="1">
      <alignment horizontal="center"/>
    </xf>
    <xf numFmtId="229" fontId="10" fillId="0" borderId="0" xfId="0" applyNumberFormat="1" applyFont="1" applyAlignment="1">
      <alignment horizontal="center"/>
    </xf>
    <xf numFmtId="229" fontId="0" fillId="0" borderId="0" xfId="0" applyNumberFormat="1" applyAlignment="1">
      <alignment horizontal="center"/>
    </xf>
    <xf numFmtId="203" fontId="3" fillId="0" borderId="2" xfId="15" applyNumberFormat="1" applyFont="1" applyFill="1" applyBorder="1" applyAlignment="1">
      <alignment horizontal="center"/>
    </xf>
    <xf numFmtId="203" fontId="3" fillId="0" borderId="3" xfId="15" applyNumberFormat="1" applyFont="1" applyFill="1" applyBorder="1" applyAlignment="1">
      <alignment/>
    </xf>
    <xf numFmtId="43" fontId="3" fillId="0" borderId="19" xfId="15" applyFont="1" applyFill="1" applyBorder="1" applyAlignment="1">
      <alignment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43" fontId="3" fillId="0" borderId="14" xfId="15" applyNumberFormat="1" applyFont="1" applyFill="1" applyBorder="1" applyAlignment="1">
      <alignment/>
    </xf>
    <xf numFmtId="43" fontId="2" fillId="0" borderId="25" xfId="15" applyFont="1" applyBorder="1" applyAlignment="1">
      <alignment/>
    </xf>
    <xf numFmtId="43" fontId="2" fillId="0" borderId="26" xfId="15" applyFont="1" applyBorder="1" applyAlignment="1">
      <alignment/>
    </xf>
    <xf numFmtId="211" fontId="3" fillId="0" borderId="2" xfId="15" applyNumberFormat="1" applyFont="1" applyBorder="1" applyAlignment="1">
      <alignment/>
    </xf>
    <xf numFmtId="211" fontId="3" fillId="0" borderId="23" xfId="15" applyNumberFormat="1" applyFont="1" applyBorder="1" applyAlignment="1">
      <alignment/>
    </xf>
    <xf numFmtId="211" fontId="3" fillId="0" borderId="18" xfId="15" applyNumberFormat="1" applyFont="1" applyBorder="1" applyAlignment="1">
      <alignment/>
    </xf>
    <xf numFmtId="203" fontId="1" fillId="0" borderId="0" xfId="0" applyNumberFormat="1" applyFont="1" applyAlignment="1">
      <alignment/>
    </xf>
    <xf numFmtId="203" fontId="3" fillId="0" borderId="2" xfId="15" applyNumberFormat="1" applyFont="1" applyFill="1" applyBorder="1" applyAlignment="1">
      <alignment/>
    </xf>
    <xf numFmtId="211" fontId="2" fillId="0" borderId="26" xfId="15" applyNumberFormat="1" applyFont="1" applyBorder="1" applyAlignment="1">
      <alignment/>
    </xf>
    <xf numFmtId="0" fontId="11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203" fontId="3" fillId="0" borderId="3" xfId="15" applyNumberFormat="1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17" fontId="2" fillId="0" borderId="27" xfId="0" applyNumberFormat="1" applyFont="1" applyBorder="1" applyAlignment="1" quotePrefix="1">
      <alignment horizontal="center"/>
    </xf>
    <xf numFmtId="0" fontId="2" fillId="0" borderId="28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2" fillId="0" borderId="27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chartsheet" Target="chartsheets/sheet1.xml" /><Relationship Id="rId15" Type="http://schemas.openxmlformats.org/officeDocument/2006/relationships/worksheet" Target="worksheets/sheet14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"/>
          <c:w val="0.8635"/>
          <c:h val="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data!$B$1</c:f>
              <c:strCache>
                <c:ptCount val="1"/>
                <c:pt idx="0">
                  <c:v>จำนวนเงิน</c:v>
                </c:pt>
              </c:strCache>
            </c:strRef>
          </c:tx>
          <c:spPr>
            <a:solidFill>
              <a:srgbClr val="0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  <a:latin typeface="Cordia New"/>
                      <a:ea typeface="Cordia New"/>
                      <a:cs typeface="Cordia New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  <a:latin typeface="Cordia New"/>
                      <a:ea typeface="Cordia New"/>
                      <a:cs typeface="Cordia New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  <a:latin typeface="Cordia New"/>
                      <a:ea typeface="Cordia New"/>
                      <a:cs typeface="Cordia New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  <a:latin typeface="Cordia New"/>
                      <a:ea typeface="Cordia New"/>
                      <a:cs typeface="Cordia New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400" b="0" i="0" u="none" baseline="0">
                    <a:solidFill>
                      <a:srgbClr val="0000FF"/>
                    </a:solidFill>
                    <a:latin typeface="Cordia New"/>
                    <a:ea typeface="Cordia New"/>
                    <a:cs typeface="Cordia New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data!$A$2:$A$14</c:f>
              <c:numCache>
                <c:ptCount val="13"/>
                <c:pt idx="0">
                  <c:v>237014</c:v>
                </c:pt>
                <c:pt idx="1">
                  <c:v>237045</c:v>
                </c:pt>
                <c:pt idx="2">
                  <c:v>237076</c:v>
                </c:pt>
                <c:pt idx="3">
                  <c:v>237104</c:v>
                </c:pt>
                <c:pt idx="4">
                  <c:v>237135</c:v>
                </c:pt>
                <c:pt idx="5">
                  <c:v>237165</c:v>
                </c:pt>
                <c:pt idx="6">
                  <c:v>237196</c:v>
                </c:pt>
                <c:pt idx="7">
                  <c:v>237226</c:v>
                </c:pt>
                <c:pt idx="8">
                  <c:v>237257</c:v>
                </c:pt>
                <c:pt idx="9">
                  <c:v>237288</c:v>
                </c:pt>
                <c:pt idx="10">
                  <c:v>237318</c:v>
                </c:pt>
                <c:pt idx="11">
                  <c:v>237349</c:v>
                </c:pt>
                <c:pt idx="12">
                  <c:v>237379</c:v>
                </c:pt>
              </c:numCache>
            </c:numRef>
          </c:cat>
          <c:val>
            <c:numRef>
              <c:f>data!$B$2:$B$14</c:f>
              <c:numCache>
                <c:ptCount val="13"/>
                <c:pt idx="0">
                  <c:v>2353.0247474234047</c:v>
                </c:pt>
                <c:pt idx="1">
                  <c:v>1109.447823889996</c:v>
                </c:pt>
                <c:pt idx="2">
                  <c:v>-11006.098233540004</c:v>
                </c:pt>
                <c:pt idx="3">
                  <c:v>167.13224344000193</c:v>
                </c:pt>
                <c:pt idx="4">
                  <c:v>-2575.4115984800037</c:v>
                </c:pt>
                <c:pt idx="5">
                  <c:v>-45.5749832599959</c:v>
                </c:pt>
                <c:pt idx="6">
                  <c:v>-144.81413777000077</c:v>
                </c:pt>
                <c:pt idx="7">
                  <c:v>696.96261768</c:v>
                </c:pt>
                <c:pt idx="8">
                  <c:v>943.2670424400003</c:v>
                </c:pt>
                <c:pt idx="9">
                  <c:v>9595.558837349994</c:v>
                </c:pt>
                <c:pt idx="10">
                  <c:v>2604.275273260008</c:v>
                </c:pt>
                <c:pt idx="11">
                  <c:v>4213.938501330001</c:v>
                </c:pt>
                <c:pt idx="12">
                  <c:v>-777.8959871800124</c:v>
                </c:pt>
              </c:numCache>
            </c:numRef>
          </c:val>
        </c:ser>
        <c:axId val="11410077"/>
        <c:axId val="754306"/>
      </c:barChart>
      <c:lineChart>
        <c:grouping val="standard"/>
        <c:varyColors val="0"/>
        <c:ser>
          <c:idx val="0"/>
          <c:order val="1"/>
          <c:tx>
            <c:strRef>
              <c:f>data!$C$1</c:f>
              <c:strCache>
                <c:ptCount val="1"/>
                <c:pt idx="0">
                  <c:v>เปลี่ยนแปลง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data!$A$2:$A$14</c:f>
              <c:numCache>
                <c:ptCount val="13"/>
                <c:pt idx="0">
                  <c:v>237014</c:v>
                </c:pt>
                <c:pt idx="1">
                  <c:v>237045</c:v>
                </c:pt>
                <c:pt idx="2">
                  <c:v>237076</c:v>
                </c:pt>
                <c:pt idx="3">
                  <c:v>237104</c:v>
                </c:pt>
                <c:pt idx="4">
                  <c:v>237135</c:v>
                </c:pt>
                <c:pt idx="5">
                  <c:v>237165</c:v>
                </c:pt>
                <c:pt idx="6">
                  <c:v>237196</c:v>
                </c:pt>
                <c:pt idx="7">
                  <c:v>237226</c:v>
                </c:pt>
                <c:pt idx="8">
                  <c:v>237257</c:v>
                </c:pt>
                <c:pt idx="9">
                  <c:v>237288</c:v>
                </c:pt>
                <c:pt idx="10">
                  <c:v>237318</c:v>
                </c:pt>
                <c:pt idx="11">
                  <c:v>237349</c:v>
                </c:pt>
                <c:pt idx="12">
                  <c:v>237379</c:v>
                </c:pt>
              </c:numCache>
            </c:numRef>
          </c:cat>
          <c:val>
            <c:numRef>
              <c:f>data!$C$2:$C$14</c:f>
              <c:numCache>
                <c:ptCount val="13"/>
                <c:pt idx="0">
                  <c:v>1.678406584894589</c:v>
                </c:pt>
                <c:pt idx="1">
                  <c:v>0.7783032265354475</c:v>
                </c:pt>
                <c:pt idx="2">
                  <c:v>-7.661402709526707</c:v>
                </c:pt>
                <c:pt idx="3">
                  <c:v>0.12599458375373776</c:v>
                </c:pt>
                <c:pt idx="4">
                  <c:v>-1.9390608475350273</c:v>
                </c:pt>
                <c:pt idx="5">
                  <c:v>-0.03499252324105218</c:v>
                </c:pt>
                <c:pt idx="6">
                  <c:v>-0.11122737859699183</c:v>
                </c:pt>
                <c:pt idx="7">
                  <c:v>0.5359120807528057</c:v>
                </c:pt>
                <c:pt idx="8">
                  <c:v>0.7214354859604449</c:v>
                </c:pt>
                <c:pt idx="9">
                  <c:v>7.286369752356523</c:v>
                </c:pt>
                <c:pt idx="10">
                  <c:v>1.84324587413666</c:v>
                </c:pt>
                <c:pt idx="11">
                  <c:v>2.9285479805106647</c:v>
                </c:pt>
                <c:pt idx="12">
                  <c:v>-0.5252303767001637</c:v>
                </c:pt>
              </c:numCache>
            </c:numRef>
          </c:val>
          <c:smooth val="0"/>
        </c:ser>
        <c:axId val="39978219"/>
        <c:axId val="38470824"/>
      </c:lineChart>
      <c:catAx>
        <c:axId val="11410077"/>
        <c:scaling>
          <c:orientation val="minMax"/>
        </c:scaling>
        <c:axPos val="b"/>
        <c:delete val="0"/>
        <c:numFmt formatCode="mmm-yy" sourceLinked="0"/>
        <c:majorTickMark val="in"/>
        <c:minorTickMark val="out"/>
        <c:tickLblPos val="nextTo"/>
        <c:txPr>
          <a:bodyPr vert="horz" rot="0"/>
          <a:lstStyle/>
          <a:p>
            <a:pPr>
              <a:defRPr lang="en-US" cap="none" sz="1200" b="0" i="0" u="none" baseline="0"/>
            </a:pPr>
          </a:p>
        </c:txPr>
        <c:crossAx val="754306"/>
        <c:crosses val="autoZero"/>
        <c:auto val="0"/>
        <c:lblOffset val="100"/>
        <c:noMultiLvlLbl val="0"/>
      </c:catAx>
      <c:valAx>
        <c:axId val="754306"/>
        <c:scaling>
          <c:orientation val="minMax"/>
          <c:max val="1500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11410077"/>
        <c:crossesAt val="1"/>
        <c:crossBetween val="between"/>
        <c:dispUnits/>
        <c:majorUnit val="1000"/>
      </c:valAx>
      <c:catAx>
        <c:axId val="39978219"/>
        <c:scaling>
          <c:orientation val="minMax"/>
        </c:scaling>
        <c:axPos val="b"/>
        <c:delete val="1"/>
        <c:majorTickMark val="in"/>
        <c:minorTickMark val="none"/>
        <c:tickLblPos val="nextTo"/>
        <c:crossAx val="38470824"/>
        <c:crosses val="autoZero"/>
        <c:auto val="0"/>
        <c:lblOffset val="100"/>
        <c:noMultiLvlLbl val="0"/>
      </c:catAx>
      <c:valAx>
        <c:axId val="38470824"/>
        <c:scaling>
          <c:orientation val="minMax"/>
          <c:max val="15"/>
          <c:min val="-1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39978219"/>
        <c:crosses val="max"/>
        <c:crossBetween val="between"/>
        <c:dispUnits/>
        <c:majorUnit val="1"/>
      </c:valAx>
      <c:spPr>
        <a:ln w="12700">
          <a:solidFill/>
        </a:ln>
      </c:spPr>
    </c:plotArea>
    <c:legend>
      <c:legendPos val="r"/>
      <c:layout>
        <c:manualLayout>
          <c:xMode val="edge"/>
          <c:yMode val="edge"/>
          <c:x val="0.88025"/>
          <c:y val="0.4435"/>
          <c:w val="0.115"/>
          <c:h val="0.11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5" right="0.75" top="1" bottom="1" header="0.5" footer="0.5"/>
  <pageSetup horizontalDpi="600" verticalDpi="600" orientation="landscape" paperSize="9"/>
  <headerFooter>
    <oddHeader>&amp;A</oddHeader>
    <oddFooter>Page &amp;P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zoomScale="75" zoomScaleNormal="75" workbookViewId="0" topLeftCell="A9">
      <selection activeCell="J22" sqref="J22"/>
    </sheetView>
  </sheetViews>
  <sheetFormatPr defaultColWidth="9.140625" defaultRowHeight="21.75"/>
  <cols>
    <col min="1" max="1" width="6.57421875" style="1" customWidth="1"/>
    <col min="2" max="2" width="55.7109375" style="35" customWidth="1"/>
    <col min="3" max="3" width="11.00390625" style="1" customWidth="1"/>
    <col min="4" max="4" width="14.8515625" style="1" customWidth="1"/>
    <col min="5" max="5" width="10.421875" style="1" customWidth="1"/>
    <col min="6" max="6" width="10.7109375" style="1" customWidth="1"/>
    <col min="7" max="7" width="14.7109375" style="1" customWidth="1"/>
    <col min="8" max="8" width="10.00390625" style="1" customWidth="1"/>
    <col min="9" max="9" width="15.00390625" style="1" customWidth="1"/>
    <col min="10" max="10" width="10.28125" style="1" customWidth="1"/>
    <col min="11" max="16384" width="9.140625" style="1" customWidth="1"/>
  </cols>
  <sheetData>
    <row r="1" spans="1:10" ht="23.25">
      <c r="A1" s="75" t="s">
        <v>12</v>
      </c>
      <c r="B1" s="76"/>
      <c r="C1" s="76"/>
      <c r="D1" s="76"/>
      <c r="E1" s="76"/>
      <c r="F1" s="76"/>
      <c r="G1" s="76"/>
      <c r="H1" s="76"/>
      <c r="I1" s="76"/>
      <c r="J1" s="76"/>
    </row>
    <row r="2" spans="1:10" ht="23.25">
      <c r="A2" s="75" t="s">
        <v>41</v>
      </c>
      <c r="B2" s="76"/>
      <c r="C2" s="76"/>
      <c r="D2" s="76"/>
      <c r="E2" s="76"/>
      <c r="F2" s="76"/>
      <c r="G2" s="76"/>
      <c r="H2" s="76"/>
      <c r="I2" s="76"/>
      <c r="J2" s="76"/>
    </row>
    <row r="3" spans="1:10" ht="5.25" customHeight="1" thickBot="1">
      <c r="A3" s="19"/>
      <c r="B3" s="28"/>
      <c r="C3" s="2"/>
      <c r="D3" s="19"/>
      <c r="E3" s="19"/>
      <c r="F3" s="2"/>
      <c r="G3" s="2"/>
      <c r="H3" s="2"/>
      <c r="I3" s="19"/>
      <c r="J3" s="19"/>
    </row>
    <row r="4" spans="1:10" ht="22.5" customHeight="1" thickBot="1">
      <c r="A4" s="8"/>
      <c r="B4" s="29"/>
      <c r="C4" s="72" t="s">
        <v>40</v>
      </c>
      <c r="D4" s="73"/>
      <c r="E4" s="74"/>
      <c r="F4" s="72" t="s">
        <v>39</v>
      </c>
      <c r="G4" s="73"/>
      <c r="H4" s="74"/>
      <c r="I4" s="77" t="s">
        <v>8</v>
      </c>
      <c r="J4" s="74"/>
    </row>
    <row r="5" spans="1:10" ht="23.25">
      <c r="A5" s="9" t="s">
        <v>0</v>
      </c>
      <c r="B5" s="30" t="s">
        <v>1</v>
      </c>
      <c r="C5" s="10" t="s">
        <v>2</v>
      </c>
      <c r="D5" s="11" t="s">
        <v>5</v>
      </c>
      <c r="E5" s="12" t="s">
        <v>3</v>
      </c>
      <c r="F5" s="10" t="s">
        <v>2</v>
      </c>
      <c r="G5" s="11" t="s">
        <v>5</v>
      </c>
      <c r="H5" s="56" t="s">
        <v>3</v>
      </c>
      <c r="I5" s="10" t="s">
        <v>5</v>
      </c>
      <c r="J5" s="56" t="s">
        <v>7</v>
      </c>
    </row>
    <row r="6" spans="1:10" ht="24" thickBot="1">
      <c r="A6" s="13"/>
      <c r="B6" s="31"/>
      <c r="C6" s="14" t="s">
        <v>4</v>
      </c>
      <c r="D6" s="15" t="s">
        <v>6</v>
      </c>
      <c r="E6" s="16"/>
      <c r="F6" s="14" t="s">
        <v>4</v>
      </c>
      <c r="G6" s="15" t="s">
        <v>6</v>
      </c>
      <c r="H6" s="57"/>
      <c r="I6" s="14" t="s">
        <v>6</v>
      </c>
      <c r="J6" s="57"/>
    </row>
    <row r="7" spans="1:10" ht="23.25">
      <c r="A7" s="3">
        <v>1</v>
      </c>
      <c r="B7" s="32" t="s">
        <v>22</v>
      </c>
      <c r="C7" s="39">
        <v>222</v>
      </c>
      <c r="D7" s="20">
        <f>41605608847.26/1000000</f>
        <v>41605.60884726</v>
      </c>
      <c r="E7" s="41">
        <f aca="true" t="shared" si="0" ref="E7:E31">(D7/$D$32)*100</f>
        <v>29.187293814553573</v>
      </c>
      <c r="F7" s="53">
        <v>224</v>
      </c>
      <c r="G7" s="58">
        <v>40017.16024961</v>
      </c>
      <c r="H7" s="44">
        <f aca="true" t="shared" si="1" ref="H7:H31">(G7/$G$32)*100</f>
        <v>28.544138919607416</v>
      </c>
      <c r="I7" s="61">
        <f aca="true" t="shared" si="2" ref="I7:I31">(D7-G7)</f>
        <v>1588.44859765</v>
      </c>
      <c r="J7" s="62">
        <f aca="true" t="shared" si="3" ref="J7:J30">(D7-G7)/G7*100</f>
        <v>3.9694185887802482</v>
      </c>
    </row>
    <row r="8" spans="1:10" ht="23.25">
      <c r="A8" s="3">
        <v>2</v>
      </c>
      <c r="B8" s="32" t="s">
        <v>19</v>
      </c>
      <c r="C8" s="4">
        <v>117</v>
      </c>
      <c r="D8" s="20">
        <f>20843479367.66/1000000</f>
        <v>20843.47936766</v>
      </c>
      <c r="E8" s="41">
        <f t="shared" si="0"/>
        <v>14.622181318265756</v>
      </c>
      <c r="F8" s="53">
        <v>118</v>
      </c>
      <c r="G8" s="58">
        <v>20713.23027501</v>
      </c>
      <c r="H8" s="41">
        <f t="shared" si="1"/>
        <v>14.774694624900716</v>
      </c>
      <c r="I8" s="61">
        <f t="shared" si="2"/>
        <v>130.2490926499995</v>
      </c>
      <c r="J8" s="63">
        <f t="shared" si="3"/>
        <v>0.6288207629649241</v>
      </c>
    </row>
    <row r="9" spans="1:10" ht="23.25">
      <c r="A9" s="3">
        <v>3</v>
      </c>
      <c r="B9" s="32" t="s">
        <v>14</v>
      </c>
      <c r="C9" s="39">
        <v>39</v>
      </c>
      <c r="D9" s="20">
        <v>16991.563709590002</v>
      </c>
      <c r="E9" s="41">
        <f t="shared" si="0"/>
        <v>11.919973679057696</v>
      </c>
      <c r="F9" s="53">
        <v>40</v>
      </c>
      <c r="G9" s="58">
        <v>16681.717684209998</v>
      </c>
      <c r="H9" s="41">
        <f t="shared" si="1"/>
        <v>11.89902691809328</v>
      </c>
      <c r="I9" s="61">
        <f t="shared" si="2"/>
        <v>309.846025380004</v>
      </c>
      <c r="J9" s="63">
        <f t="shared" si="3"/>
        <v>1.8573988077575927</v>
      </c>
    </row>
    <row r="10" spans="1:10" ht="23.25">
      <c r="A10" s="3">
        <v>4</v>
      </c>
      <c r="B10" s="32" t="s">
        <v>17</v>
      </c>
      <c r="C10" s="39">
        <v>50</v>
      </c>
      <c r="D10" s="20">
        <f>15330142838.78/1000000</f>
        <v>15330.14283878</v>
      </c>
      <c r="E10" s="41">
        <f t="shared" si="0"/>
        <v>10.754448634490139</v>
      </c>
      <c r="F10" s="53">
        <v>50</v>
      </c>
      <c r="G10" s="58">
        <v>15091.35800061</v>
      </c>
      <c r="H10" s="41">
        <f t="shared" si="1"/>
        <v>10.764627389049647</v>
      </c>
      <c r="I10" s="61">
        <f t="shared" si="2"/>
        <v>238.7848381700005</v>
      </c>
      <c r="J10" s="63">
        <f t="shared" si="3"/>
        <v>1.582262101000776</v>
      </c>
    </row>
    <row r="11" spans="1:10" ht="23.25">
      <c r="A11" s="3">
        <v>5</v>
      </c>
      <c r="B11" s="32" t="s">
        <v>30</v>
      </c>
      <c r="C11" s="4">
        <v>411</v>
      </c>
      <c r="D11" s="20">
        <v>7983.35</v>
      </c>
      <c r="E11" s="41">
        <f t="shared" si="0"/>
        <v>5.60050407938596</v>
      </c>
      <c r="F11" s="53">
        <v>408</v>
      </c>
      <c r="G11" s="58">
        <v>7626.81</v>
      </c>
      <c r="H11" s="41">
        <f t="shared" si="1"/>
        <v>5.44018423085313</v>
      </c>
      <c r="I11" s="61">
        <f t="shared" si="2"/>
        <v>356.53999999999996</v>
      </c>
      <c r="J11" s="63">
        <f t="shared" si="3"/>
        <v>4.674824730129634</v>
      </c>
    </row>
    <row r="12" spans="1:10" ht="23.25">
      <c r="A12" s="3">
        <v>6</v>
      </c>
      <c r="B12" s="32" t="s">
        <v>20</v>
      </c>
      <c r="C12" s="4">
        <v>124</v>
      </c>
      <c r="D12" s="20">
        <f>7776.88</f>
        <v>7776.88</v>
      </c>
      <c r="E12" s="41">
        <f t="shared" si="0"/>
        <v>5.455660614265326</v>
      </c>
      <c r="F12" s="53">
        <v>124</v>
      </c>
      <c r="G12" s="58">
        <v>7502.26</v>
      </c>
      <c r="H12" s="41">
        <f t="shared" si="1"/>
        <v>5.351343031721021</v>
      </c>
      <c r="I12" s="61">
        <f t="shared" si="2"/>
        <v>274.6199999999999</v>
      </c>
      <c r="J12" s="63">
        <f t="shared" si="3"/>
        <v>3.6604969702462977</v>
      </c>
    </row>
    <row r="13" spans="1:10" ht="23.25">
      <c r="A13" s="3">
        <v>7</v>
      </c>
      <c r="B13" s="33" t="s">
        <v>21</v>
      </c>
      <c r="C13" s="5">
        <v>10</v>
      </c>
      <c r="D13" s="20">
        <f>6873497.62/1000</f>
        <v>6873.49762</v>
      </c>
      <c r="E13" s="41">
        <f t="shared" si="0"/>
        <v>4.821917047412389</v>
      </c>
      <c r="F13" s="53">
        <v>10</v>
      </c>
      <c r="G13" s="58">
        <v>6803.3091699999995</v>
      </c>
      <c r="H13" s="41">
        <f t="shared" si="1"/>
        <v>4.852783177272345</v>
      </c>
      <c r="I13" s="61">
        <f t="shared" si="2"/>
        <v>70.18845000000056</v>
      </c>
      <c r="J13" s="63">
        <f t="shared" si="3"/>
        <v>1.0316810282487952</v>
      </c>
    </row>
    <row r="14" spans="1:10" ht="23.25">
      <c r="A14" s="3">
        <v>8</v>
      </c>
      <c r="B14" s="33" t="s">
        <v>26</v>
      </c>
      <c r="C14" s="5">
        <v>21</v>
      </c>
      <c r="D14" s="20">
        <f>5509140935.96/1000000</f>
        <v>5509.14093596</v>
      </c>
      <c r="E14" s="41">
        <f t="shared" si="0"/>
        <v>3.864789378613761</v>
      </c>
      <c r="F14" s="53">
        <v>23</v>
      </c>
      <c r="G14" s="58">
        <v>5292.59982488</v>
      </c>
      <c r="H14" s="41">
        <f t="shared" si="1"/>
        <v>3.7751980326674204</v>
      </c>
      <c r="I14" s="61">
        <f t="shared" si="2"/>
        <v>216.54111108000052</v>
      </c>
      <c r="J14" s="63">
        <f t="shared" si="3"/>
        <v>4.091393988679471</v>
      </c>
    </row>
    <row r="15" spans="1:10" ht="23.25">
      <c r="A15" s="3">
        <v>9</v>
      </c>
      <c r="B15" s="32" t="s">
        <v>31</v>
      </c>
      <c r="C15" s="4">
        <v>59</v>
      </c>
      <c r="D15" s="20">
        <f>3814211197.04/1000000</f>
        <v>3814.21119704</v>
      </c>
      <c r="E15" s="41">
        <f t="shared" si="0"/>
        <v>2.675757090527426</v>
      </c>
      <c r="F15" s="53">
        <v>60</v>
      </c>
      <c r="G15" s="58">
        <v>3646.58082382</v>
      </c>
      <c r="H15" s="41">
        <f t="shared" si="1"/>
        <v>2.601096853635659</v>
      </c>
      <c r="I15" s="61">
        <f t="shared" si="2"/>
        <v>167.6303732199999</v>
      </c>
      <c r="J15" s="63">
        <f t="shared" si="3"/>
        <v>4.596919177685951</v>
      </c>
    </row>
    <row r="16" spans="1:10" ht="23.25">
      <c r="A16" s="3">
        <v>10</v>
      </c>
      <c r="B16" s="32" t="s">
        <v>73</v>
      </c>
      <c r="C16" s="39">
        <v>2</v>
      </c>
      <c r="D16" s="40">
        <f>(2654896115.1+2262924.95)/1000000</f>
        <v>2657.15904005</v>
      </c>
      <c r="E16" s="41">
        <f t="shared" si="0"/>
        <v>1.8640583268148467</v>
      </c>
      <c r="F16" s="53">
        <v>2</v>
      </c>
      <c r="G16" s="58">
        <v>3024.4390529899997</v>
      </c>
      <c r="H16" s="41">
        <f t="shared" si="1"/>
        <v>2.157324706299563</v>
      </c>
      <c r="I16" s="61">
        <f t="shared" si="2"/>
        <v>-367.2800129399998</v>
      </c>
      <c r="J16" s="63">
        <f t="shared" si="3"/>
        <v>-12.143739930117023</v>
      </c>
    </row>
    <row r="17" spans="1:10" ht="23.25">
      <c r="A17" s="3">
        <v>11</v>
      </c>
      <c r="B17" s="32" t="s">
        <v>18</v>
      </c>
      <c r="C17" s="54">
        <v>54</v>
      </c>
      <c r="D17" s="20">
        <f>2104611523.18/1000000</f>
        <v>2104.61152318</v>
      </c>
      <c r="E17" s="41">
        <f t="shared" si="0"/>
        <v>1.4764335048685437</v>
      </c>
      <c r="F17" s="53">
        <v>55</v>
      </c>
      <c r="G17" s="58">
        <v>2085.13346077</v>
      </c>
      <c r="H17" s="41">
        <f t="shared" si="1"/>
        <v>1.4873204095165826</v>
      </c>
      <c r="I17" s="61">
        <f t="shared" si="2"/>
        <v>19.478062409999893</v>
      </c>
      <c r="J17" s="63">
        <f t="shared" si="3"/>
        <v>0.934139841715792</v>
      </c>
    </row>
    <row r="18" spans="1:10" ht="23.25">
      <c r="A18" s="3">
        <v>12</v>
      </c>
      <c r="B18" s="32" t="s">
        <v>36</v>
      </c>
      <c r="C18" s="4">
        <v>56</v>
      </c>
      <c r="D18" s="20">
        <f>2014.82</f>
        <v>2014.82</v>
      </c>
      <c r="E18" s="41">
        <f t="shared" si="0"/>
        <v>1.4134426812338705</v>
      </c>
      <c r="F18" s="53">
        <v>58</v>
      </c>
      <c r="G18" s="58">
        <v>2508.36</v>
      </c>
      <c r="H18" s="41">
        <f t="shared" si="1"/>
        <v>1.7892068266159453</v>
      </c>
      <c r="I18" s="61">
        <f t="shared" si="2"/>
        <v>-493.5400000000002</v>
      </c>
      <c r="J18" s="63">
        <f t="shared" si="3"/>
        <v>-19.675804111052646</v>
      </c>
    </row>
    <row r="19" spans="1:10" ht="23.25">
      <c r="A19" s="3">
        <v>13</v>
      </c>
      <c r="B19" s="32" t="s">
        <v>24</v>
      </c>
      <c r="C19" s="39">
        <v>49</v>
      </c>
      <c r="D19" s="20">
        <v>1705.3</v>
      </c>
      <c r="E19" s="41">
        <f t="shared" si="0"/>
        <v>1.1963072653180529</v>
      </c>
      <c r="F19" s="53">
        <v>7</v>
      </c>
      <c r="G19" s="58">
        <v>124.59</v>
      </c>
      <c r="H19" s="41">
        <f t="shared" si="1"/>
        <v>0.08886973103066569</v>
      </c>
      <c r="I19" s="61">
        <f t="shared" si="2"/>
        <v>1580.71</v>
      </c>
      <c r="J19" s="63">
        <f t="shared" si="3"/>
        <v>1268.729432538727</v>
      </c>
    </row>
    <row r="20" spans="1:10" ht="23.25">
      <c r="A20" s="3">
        <v>14</v>
      </c>
      <c r="B20" s="32" t="s">
        <v>33</v>
      </c>
      <c r="C20" s="4">
        <v>2</v>
      </c>
      <c r="D20" s="20">
        <f>1433075522.11/1000000</f>
        <v>1433.0755221099998</v>
      </c>
      <c r="E20" s="41">
        <f t="shared" si="0"/>
        <v>1.0053355180024952</v>
      </c>
      <c r="F20" s="53">
        <v>2</v>
      </c>
      <c r="G20" s="58">
        <v>1534.6059058199999</v>
      </c>
      <c r="H20" s="41">
        <f t="shared" si="1"/>
        <v>1.094630500748812</v>
      </c>
      <c r="I20" s="61">
        <f t="shared" si="2"/>
        <v>-101.53038371000002</v>
      </c>
      <c r="J20" s="63">
        <f t="shared" si="3"/>
        <v>-6.616055843715027</v>
      </c>
    </row>
    <row r="21" spans="1:10" ht="23.25">
      <c r="A21" s="46">
        <v>15</v>
      </c>
      <c r="B21" s="32" t="s">
        <v>25</v>
      </c>
      <c r="C21" s="4">
        <v>3</v>
      </c>
      <c r="D21" s="20">
        <f>1297155315.41/1000000</f>
        <v>1297.1553154100002</v>
      </c>
      <c r="E21" s="41">
        <f t="shared" si="0"/>
        <v>0.9099843593918453</v>
      </c>
      <c r="F21" s="53">
        <v>4</v>
      </c>
      <c r="G21" s="58">
        <v>1293.4194686199999</v>
      </c>
      <c r="H21" s="41">
        <f t="shared" si="1"/>
        <v>0.9225928267604618</v>
      </c>
      <c r="I21" s="61">
        <f t="shared" si="2"/>
        <v>3.7358467900003234</v>
      </c>
      <c r="J21" s="63">
        <f t="shared" si="3"/>
        <v>0.28883489700261317</v>
      </c>
    </row>
    <row r="22" spans="1:10" ht="23.25">
      <c r="A22" s="3">
        <v>16</v>
      </c>
      <c r="B22" s="32" t="s">
        <v>52</v>
      </c>
      <c r="C22" s="39">
        <v>13</v>
      </c>
      <c r="D22" s="40">
        <f>919837636.96/1000000</f>
        <v>919.83763696</v>
      </c>
      <c r="E22" s="41">
        <f t="shared" si="0"/>
        <v>0.6452873089827231</v>
      </c>
      <c r="F22" s="65">
        <v>13</v>
      </c>
      <c r="G22" s="58">
        <v>911.87922987</v>
      </c>
      <c r="H22" s="41">
        <f t="shared" si="1"/>
        <v>0.6504411420739825</v>
      </c>
      <c r="I22" s="61">
        <f t="shared" si="2"/>
        <v>7.958407090000037</v>
      </c>
      <c r="J22" s="63">
        <f t="shared" si="3"/>
        <v>0.8727479285973658</v>
      </c>
    </row>
    <row r="23" spans="1:10" ht="23.25">
      <c r="A23" s="3">
        <v>17</v>
      </c>
      <c r="B23" s="33" t="s">
        <v>32</v>
      </c>
      <c r="C23" s="4">
        <v>34</v>
      </c>
      <c r="D23" s="20">
        <f>896909742.13/1000000</f>
        <v>896.90974213</v>
      </c>
      <c r="E23" s="41">
        <f t="shared" si="0"/>
        <v>0.6292028621618838</v>
      </c>
      <c r="F23" s="53">
        <v>33</v>
      </c>
      <c r="G23" s="58">
        <v>761.29988244</v>
      </c>
      <c r="H23" s="41">
        <f t="shared" si="1"/>
        <v>0.5430332754323799</v>
      </c>
      <c r="I23" s="61">
        <f t="shared" si="2"/>
        <v>135.60985969</v>
      </c>
      <c r="J23" s="63">
        <f t="shared" si="3"/>
        <v>17.812935850635412</v>
      </c>
    </row>
    <row r="24" spans="1:10" ht="23.25">
      <c r="A24" s="3">
        <v>18</v>
      </c>
      <c r="B24" s="32" t="s">
        <v>15</v>
      </c>
      <c r="C24" s="4">
        <v>6</v>
      </c>
      <c r="D24" s="20">
        <f>874501393.1/1000000</f>
        <v>874.5013931</v>
      </c>
      <c r="E24" s="41">
        <f t="shared" si="0"/>
        <v>0.6134828886977591</v>
      </c>
      <c r="F24" s="53">
        <v>23</v>
      </c>
      <c r="G24" s="58">
        <v>1390.58021439</v>
      </c>
      <c r="H24" s="41">
        <f t="shared" si="1"/>
        <v>0.9918973403114595</v>
      </c>
      <c r="I24" s="61">
        <f t="shared" si="2"/>
        <v>-516.0788212900001</v>
      </c>
      <c r="J24" s="63">
        <f t="shared" si="3"/>
        <v>-37.11248124700136</v>
      </c>
    </row>
    <row r="25" spans="1:10" ht="23.25">
      <c r="A25" s="21">
        <v>19</v>
      </c>
      <c r="B25" s="32" t="s">
        <v>29</v>
      </c>
      <c r="C25" s="39">
        <v>19</v>
      </c>
      <c r="D25" s="20">
        <f>623324810.21/1000000</f>
        <v>623.32481021</v>
      </c>
      <c r="E25" s="41">
        <f t="shared" si="0"/>
        <v>0.4372767249793113</v>
      </c>
      <c r="F25" s="53">
        <v>46</v>
      </c>
      <c r="G25" s="58">
        <v>1901.34118494</v>
      </c>
      <c r="H25" s="41">
        <f t="shared" si="1"/>
        <v>1.3562218452776709</v>
      </c>
      <c r="I25" s="61">
        <f t="shared" si="2"/>
        <v>-1278.0163747299998</v>
      </c>
      <c r="J25" s="63">
        <f t="shared" si="3"/>
        <v>-67.21657243070395</v>
      </c>
    </row>
    <row r="26" spans="1:10" ht="23.25">
      <c r="A26" s="21">
        <v>20</v>
      </c>
      <c r="B26" s="32" t="s">
        <v>16</v>
      </c>
      <c r="C26" s="5">
        <v>87</v>
      </c>
      <c r="D26" s="20">
        <f>619314984.21/1000000</f>
        <v>619.31498421</v>
      </c>
      <c r="E26" s="41">
        <f t="shared" si="0"/>
        <v>0.4344637395946509</v>
      </c>
      <c r="F26" s="53">
        <v>86</v>
      </c>
      <c r="G26" s="58">
        <v>616.1197415299999</v>
      </c>
      <c r="H26" s="41">
        <f t="shared" si="1"/>
        <v>0.4394766491087115</v>
      </c>
      <c r="I26" s="61">
        <f t="shared" si="2"/>
        <v>3.195242680000092</v>
      </c>
      <c r="J26" s="63">
        <f t="shared" si="3"/>
        <v>0.5186074174583984</v>
      </c>
    </row>
    <row r="27" spans="1:10" ht="23.25">
      <c r="A27" s="21">
        <v>21</v>
      </c>
      <c r="B27" s="32" t="s">
        <v>51</v>
      </c>
      <c r="C27" s="5">
        <v>6</v>
      </c>
      <c r="D27" s="20">
        <f>306406744.74/1000000</f>
        <v>306.40674474</v>
      </c>
      <c r="E27" s="41">
        <f t="shared" si="0"/>
        <v>0.21495139557550935</v>
      </c>
      <c r="F27" s="53">
        <v>4</v>
      </c>
      <c r="G27" s="58">
        <f>314695440.07/1000000</f>
        <v>314.69544007</v>
      </c>
      <c r="H27" s="45">
        <f t="shared" si="1"/>
        <v>0.22447145931132415</v>
      </c>
      <c r="I27" s="61">
        <f t="shared" si="2"/>
        <v>-8.288695329999996</v>
      </c>
      <c r="J27" s="63">
        <f t="shared" si="3"/>
        <v>-2.6338784343860464</v>
      </c>
    </row>
    <row r="28" spans="1:10" ht="23.25">
      <c r="A28" s="21">
        <v>22</v>
      </c>
      <c r="B28" s="32" t="s">
        <v>35</v>
      </c>
      <c r="C28" s="54">
        <v>4</v>
      </c>
      <c r="D28" s="20">
        <f>188660705.34/1000000</f>
        <v>188.66070534</v>
      </c>
      <c r="E28" s="41">
        <f t="shared" si="0"/>
        <v>0.13234983432725642</v>
      </c>
      <c r="F28" s="65">
        <v>4</v>
      </c>
      <c r="G28" s="58">
        <v>180.85968731</v>
      </c>
      <c r="H28" s="45">
        <f t="shared" si="1"/>
        <v>0.12900675628485433</v>
      </c>
      <c r="I28" s="61">
        <f t="shared" si="2"/>
        <v>7.8010180299999945</v>
      </c>
      <c r="J28" s="63">
        <f t="shared" si="3"/>
        <v>4.313298417147415</v>
      </c>
    </row>
    <row r="29" spans="1:10" ht="23.25">
      <c r="A29" s="21">
        <v>23</v>
      </c>
      <c r="B29" s="32" t="s">
        <v>34</v>
      </c>
      <c r="C29" s="54">
        <v>2</v>
      </c>
      <c r="D29" s="55">
        <f>175969109.18/1000000</f>
        <v>175.96910918</v>
      </c>
      <c r="E29" s="41">
        <f t="shared" si="0"/>
        <v>0.12344638701904632</v>
      </c>
      <c r="F29" s="53">
        <v>2</v>
      </c>
      <c r="G29" s="58">
        <f>170594504.47/1000000</f>
        <v>170.59450447</v>
      </c>
      <c r="H29" s="45">
        <f t="shared" si="1"/>
        <v>0.12168462739833531</v>
      </c>
      <c r="I29" s="61">
        <f t="shared" si="2"/>
        <v>5.37460471</v>
      </c>
      <c r="J29" s="63">
        <f t="shared" si="3"/>
        <v>3.1505145647556043</v>
      </c>
    </row>
    <row r="30" spans="1:10" ht="23.25">
      <c r="A30" s="21">
        <v>24</v>
      </c>
      <c r="B30" s="32" t="s">
        <v>72</v>
      </c>
      <c r="C30" s="54">
        <v>2</v>
      </c>
      <c r="D30" s="42">
        <f>2069135.79/1000000</f>
        <v>2.0691357900000003</v>
      </c>
      <c r="E30" s="41">
        <f t="shared" si="0"/>
        <v>0.0014515464601575145</v>
      </c>
      <c r="F30" s="53">
        <v>1</v>
      </c>
      <c r="G30" s="58">
        <v>1.0216299166</v>
      </c>
      <c r="H30" s="45">
        <f t="shared" si="1"/>
        <v>0.0007287260285827388</v>
      </c>
      <c r="I30" s="61">
        <f t="shared" si="2"/>
        <v>1.0475058734000002</v>
      </c>
      <c r="J30" s="63">
        <f t="shared" si="3"/>
        <v>102.53281118529847</v>
      </c>
    </row>
    <row r="31" spans="1:10" ht="24" thickBot="1">
      <c r="A31" s="21">
        <v>25</v>
      </c>
      <c r="B31" s="32" t="s">
        <v>23</v>
      </c>
      <c r="C31" s="5"/>
      <c r="D31" s="42"/>
      <c r="E31" s="41">
        <f t="shared" si="0"/>
        <v>0</v>
      </c>
      <c r="F31" s="53"/>
      <c r="G31" s="58"/>
      <c r="H31" s="45">
        <f t="shared" si="1"/>
        <v>0</v>
      </c>
      <c r="I31" s="61">
        <f t="shared" si="2"/>
        <v>0</v>
      </c>
      <c r="J31" s="63">
        <v>0</v>
      </c>
    </row>
    <row r="32" spans="1:11" ht="24" thickBot="1">
      <c r="A32" s="70" t="s">
        <v>11</v>
      </c>
      <c r="B32" s="71"/>
      <c r="C32" s="6">
        <f aca="true" t="shared" si="4" ref="C32:I32">SUM(C7:C31)</f>
        <v>1392</v>
      </c>
      <c r="D32" s="37">
        <f t="shared" si="4"/>
        <v>142546.99017870004</v>
      </c>
      <c r="E32" s="38">
        <f t="shared" si="4"/>
        <v>99.99999999999997</v>
      </c>
      <c r="F32" s="6">
        <f t="shared" si="4"/>
        <v>1397</v>
      </c>
      <c r="G32" s="59">
        <f t="shared" si="4"/>
        <v>140193.96543127665</v>
      </c>
      <c r="H32" s="60">
        <f t="shared" si="4"/>
        <v>99.99999999999994</v>
      </c>
      <c r="I32" s="43">
        <f t="shared" si="4"/>
        <v>2353.0247474234047</v>
      </c>
      <c r="J32" s="66">
        <f>(D32-G32)/G32*100</f>
        <v>1.678406584894589</v>
      </c>
      <c r="K32" s="7"/>
    </row>
    <row r="33" spans="1:11" ht="5.25" customHeight="1">
      <c r="A33" s="22"/>
      <c r="B33" s="34"/>
      <c r="C33" s="23"/>
      <c r="D33" s="24"/>
      <c r="E33" s="25"/>
      <c r="F33" s="23"/>
      <c r="G33" s="24"/>
      <c r="H33" s="25"/>
      <c r="I33" s="26"/>
      <c r="J33" s="27"/>
      <c r="K33" s="7"/>
    </row>
    <row r="34" spans="2:10" ht="21">
      <c r="B34" s="35" t="s">
        <v>38</v>
      </c>
      <c r="H34" s="17" t="s">
        <v>10</v>
      </c>
      <c r="J34" s="18"/>
    </row>
    <row r="35" spans="2:10" ht="21">
      <c r="B35" s="36" t="s">
        <v>13</v>
      </c>
      <c r="H35" s="17" t="s">
        <v>9</v>
      </c>
      <c r="J35" s="18"/>
    </row>
    <row r="36" spans="2:10" ht="21">
      <c r="B36" s="35" t="s">
        <v>42</v>
      </c>
      <c r="H36" s="17"/>
      <c r="J36" s="18"/>
    </row>
    <row r="37" spans="8:10" ht="21">
      <c r="H37" s="17"/>
      <c r="J37" s="18"/>
    </row>
    <row r="39" ht="21">
      <c r="F39" s="64"/>
    </row>
    <row r="40" ht="21" hidden="1"/>
  </sheetData>
  <mergeCells count="6">
    <mergeCell ref="A32:B32"/>
    <mergeCell ref="F4:H4"/>
    <mergeCell ref="A1:J1"/>
    <mergeCell ref="A2:J2"/>
    <mergeCell ref="C4:E4"/>
    <mergeCell ref="I4:J4"/>
  </mergeCells>
  <printOptions horizontalCentered="1" verticalCentered="1"/>
  <pageMargins left="0.1968503937007874" right="0.1968503937007874" top="0.17" bottom="0.07874015748031496" header="0.4330708661417323" footer="0.15748031496062992"/>
  <pageSetup horizontalDpi="1200" verticalDpi="1200" orientation="landscape" paperSize="9" scale="7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zoomScale="75" zoomScaleNormal="75" workbookViewId="0" topLeftCell="A1">
      <selection activeCell="A1" sqref="A1:J1"/>
    </sheetView>
  </sheetViews>
  <sheetFormatPr defaultColWidth="9.140625" defaultRowHeight="21.75"/>
  <cols>
    <col min="1" max="1" width="6.57421875" style="1" customWidth="1"/>
    <col min="2" max="2" width="55.7109375" style="35" customWidth="1"/>
    <col min="3" max="3" width="11.00390625" style="1" customWidth="1"/>
    <col min="4" max="4" width="14.8515625" style="1" customWidth="1"/>
    <col min="5" max="5" width="10.421875" style="1" customWidth="1"/>
    <col min="6" max="6" width="10.7109375" style="1" customWidth="1"/>
    <col min="7" max="7" width="14.7109375" style="1" customWidth="1"/>
    <col min="8" max="8" width="10.00390625" style="1" customWidth="1"/>
    <col min="9" max="9" width="15.00390625" style="1" customWidth="1"/>
    <col min="10" max="10" width="10.28125" style="1" customWidth="1"/>
    <col min="11" max="16384" width="9.140625" style="1" customWidth="1"/>
  </cols>
  <sheetData>
    <row r="1" spans="1:10" ht="23.25">
      <c r="A1" s="75" t="s">
        <v>12</v>
      </c>
      <c r="B1" s="76"/>
      <c r="C1" s="76"/>
      <c r="D1" s="76"/>
      <c r="E1" s="76"/>
      <c r="F1" s="76"/>
      <c r="G1" s="76"/>
      <c r="H1" s="76"/>
      <c r="I1" s="76"/>
      <c r="J1" s="76"/>
    </row>
    <row r="2" spans="1:10" ht="23.25">
      <c r="A2" s="75" t="s">
        <v>77</v>
      </c>
      <c r="B2" s="76"/>
      <c r="C2" s="76"/>
      <c r="D2" s="76"/>
      <c r="E2" s="76"/>
      <c r="F2" s="76"/>
      <c r="G2" s="76"/>
      <c r="H2" s="76"/>
      <c r="I2" s="76"/>
      <c r="J2" s="76"/>
    </row>
    <row r="3" spans="1:10" ht="5.25" customHeight="1" thickBot="1">
      <c r="A3" s="19"/>
      <c r="B3" s="28"/>
      <c r="C3" s="2"/>
      <c r="D3" s="19"/>
      <c r="E3" s="19"/>
      <c r="F3" s="2"/>
      <c r="G3" s="2"/>
      <c r="H3" s="2"/>
      <c r="I3" s="19"/>
      <c r="J3" s="19"/>
    </row>
    <row r="4" spans="1:10" ht="22.5" customHeight="1" thickBot="1">
      <c r="A4" s="8"/>
      <c r="B4" s="29"/>
      <c r="C4" s="72" t="s">
        <v>78</v>
      </c>
      <c r="D4" s="73"/>
      <c r="E4" s="74"/>
      <c r="F4" s="72" t="s">
        <v>74</v>
      </c>
      <c r="G4" s="73"/>
      <c r="H4" s="74"/>
      <c r="I4" s="77" t="s">
        <v>8</v>
      </c>
      <c r="J4" s="74"/>
    </row>
    <row r="5" spans="1:10" ht="23.25">
      <c r="A5" s="9" t="s">
        <v>0</v>
      </c>
      <c r="B5" s="30" t="s">
        <v>1</v>
      </c>
      <c r="C5" s="10" t="s">
        <v>2</v>
      </c>
      <c r="D5" s="11" t="s">
        <v>5</v>
      </c>
      <c r="E5" s="12" t="s">
        <v>3</v>
      </c>
      <c r="F5" s="10" t="s">
        <v>2</v>
      </c>
      <c r="G5" s="11" t="s">
        <v>5</v>
      </c>
      <c r="H5" s="56" t="s">
        <v>3</v>
      </c>
      <c r="I5" s="10" t="s">
        <v>5</v>
      </c>
      <c r="J5" s="56" t="s">
        <v>7</v>
      </c>
    </row>
    <row r="6" spans="1:10" ht="24" thickBot="1">
      <c r="A6" s="13"/>
      <c r="B6" s="31"/>
      <c r="C6" s="14" t="s">
        <v>4</v>
      </c>
      <c r="D6" s="15" t="s">
        <v>6</v>
      </c>
      <c r="E6" s="16"/>
      <c r="F6" s="14" t="s">
        <v>4</v>
      </c>
      <c r="G6" s="15" t="s">
        <v>6</v>
      </c>
      <c r="H6" s="57"/>
      <c r="I6" s="14" t="s">
        <v>6</v>
      </c>
      <c r="J6" s="57"/>
    </row>
    <row r="7" spans="1:10" ht="23.25">
      <c r="A7" s="3">
        <v>1</v>
      </c>
      <c r="B7" s="32" t="s">
        <v>22</v>
      </c>
      <c r="C7" s="39">
        <v>201</v>
      </c>
      <c r="D7" s="20">
        <f>26905790579.75/1000000</f>
        <v>26905.79057975</v>
      </c>
      <c r="E7" s="41">
        <f aca="true" t="shared" si="0" ref="E7:E30">(D7/$D$31)*100</f>
        <v>19.043296991576767</v>
      </c>
      <c r="F7" s="39">
        <v>200</v>
      </c>
      <c r="G7" s="20">
        <v>29286.04086556</v>
      </c>
      <c r="H7" s="44">
        <f aca="true" t="shared" si="1" ref="H7:H30">(G7/$G$31)*100</f>
        <v>22.238300649931208</v>
      </c>
      <c r="I7" s="61">
        <f aca="true" t="shared" si="2" ref="I7:I30">(D7-G7)</f>
        <v>-2380.2502858100015</v>
      </c>
      <c r="J7" s="62">
        <f aca="true" t="shared" si="3" ref="J7:J29">(D7-G7)/G7*100</f>
        <v>-8.127593267853234</v>
      </c>
    </row>
    <row r="8" spans="1:10" ht="23.25">
      <c r="A8" s="3">
        <v>2</v>
      </c>
      <c r="B8" s="32" t="s">
        <v>19</v>
      </c>
      <c r="C8" s="4">
        <v>129</v>
      </c>
      <c r="D8" s="20">
        <f>23598515331.62/1000000</f>
        <v>23598.515331619998</v>
      </c>
      <c r="E8" s="41">
        <f t="shared" si="0"/>
        <v>16.702483976016026</v>
      </c>
      <c r="F8" s="4">
        <v>132</v>
      </c>
      <c r="G8" s="20">
        <v>22714.64944359</v>
      </c>
      <c r="H8" s="41">
        <f t="shared" si="1"/>
        <v>17.248326798532176</v>
      </c>
      <c r="I8" s="61">
        <f t="shared" si="2"/>
        <v>883.865888029999</v>
      </c>
      <c r="J8" s="63">
        <f t="shared" si="3"/>
        <v>3.8911711590575444</v>
      </c>
    </row>
    <row r="9" spans="1:10" ht="23.25">
      <c r="A9" s="3">
        <v>3</v>
      </c>
      <c r="B9" s="32" t="s">
        <v>17</v>
      </c>
      <c r="C9" s="39">
        <v>48</v>
      </c>
      <c r="D9" s="20">
        <f>16602058256.06/1000000</f>
        <v>16602.058256059998</v>
      </c>
      <c r="E9" s="41">
        <f t="shared" si="0"/>
        <v>11.750553290917171</v>
      </c>
      <c r="F9" s="39">
        <v>48</v>
      </c>
      <c r="G9" s="20">
        <v>15608.17940505</v>
      </c>
      <c r="H9" s="41">
        <f t="shared" si="1"/>
        <v>11.852041995056785</v>
      </c>
      <c r="I9" s="61">
        <f t="shared" si="2"/>
        <v>993.8788510099985</v>
      </c>
      <c r="J9" s="63">
        <f t="shared" si="3"/>
        <v>6.367679568626887</v>
      </c>
    </row>
    <row r="10" spans="1:10" ht="23.25">
      <c r="A10" s="3">
        <v>4</v>
      </c>
      <c r="B10" s="32" t="s">
        <v>26</v>
      </c>
      <c r="C10" s="4">
        <v>18</v>
      </c>
      <c r="D10" s="20">
        <f>16367488766.56/1000000</f>
        <v>16367.48876656</v>
      </c>
      <c r="E10" s="41">
        <f t="shared" si="0"/>
        <v>11.584530425301285</v>
      </c>
      <c r="F10" s="4">
        <v>16</v>
      </c>
      <c r="G10" s="20">
        <v>6882.4121638999995</v>
      </c>
      <c r="H10" s="41">
        <f t="shared" si="1"/>
        <v>5.226146873186273</v>
      </c>
      <c r="I10" s="61">
        <f t="shared" si="2"/>
        <v>9485.07660266</v>
      </c>
      <c r="J10" s="63">
        <f t="shared" si="3"/>
        <v>137.8161664366984</v>
      </c>
    </row>
    <row r="11" spans="1:10" ht="23.25">
      <c r="A11" s="3">
        <v>5</v>
      </c>
      <c r="B11" s="32" t="s">
        <v>21</v>
      </c>
      <c r="C11" s="4">
        <v>11</v>
      </c>
      <c r="D11" s="20">
        <f>15830885.08/1000</f>
        <v>15830.88508</v>
      </c>
      <c r="E11" s="41">
        <f t="shared" si="0"/>
        <v>11.204734732636231</v>
      </c>
      <c r="F11" s="4">
        <v>10</v>
      </c>
      <c r="G11" s="20">
        <v>7583.83764</v>
      </c>
      <c r="H11" s="41">
        <f t="shared" si="1"/>
        <v>5.758773003588781</v>
      </c>
      <c r="I11" s="61">
        <f t="shared" si="2"/>
        <v>8247.04744</v>
      </c>
      <c r="J11" s="63">
        <f t="shared" si="3"/>
        <v>108.7450421736613</v>
      </c>
    </row>
    <row r="12" spans="1:10" ht="23.25">
      <c r="A12" s="3">
        <v>6</v>
      </c>
      <c r="B12" s="32" t="s">
        <v>14</v>
      </c>
      <c r="C12" s="39">
        <v>25</v>
      </c>
      <c r="D12" s="20">
        <f>(514112831.87+8179323021.62)/1000000</f>
        <v>8693.43585349</v>
      </c>
      <c r="E12" s="41">
        <f t="shared" si="0"/>
        <v>6.153013060312387</v>
      </c>
      <c r="F12" s="39">
        <v>29</v>
      </c>
      <c r="G12" s="20">
        <v>17454.90161417</v>
      </c>
      <c r="H12" s="41">
        <f t="shared" si="1"/>
        <v>13.254347069062577</v>
      </c>
      <c r="I12" s="61">
        <f t="shared" si="2"/>
        <v>-8761.465760680001</v>
      </c>
      <c r="J12" s="63">
        <f t="shared" si="3"/>
        <v>-50.194873361917935</v>
      </c>
    </row>
    <row r="13" spans="1:10" ht="23.25">
      <c r="A13" s="3">
        <v>7</v>
      </c>
      <c r="B13" s="33" t="s">
        <v>30</v>
      </c>
      <c r="C13" s="5">
        <v>275</v>
      </c>
      <c r="D13" s="20">
        <f>6981146220.96/1000000</f>
        <v>6981.14622096</v>
      </c>
      <c r="E13" s="41">
        <f t="shared" si="0"/>
        <v>4.941094015926157</v>
      </c>
      <c r="F13" s="5">
        <v>277</v>
      </c>
      <c r="G13" s="20">
        <v>6923.62</v>
      </c>
      <c r="H13" s="41">
        <f t="shared" si="1"/>
        <v>5.257437966869153</v>
      </c>
      <c r="I13" s="61">
        <f t="shared" si="2"/>
        <v>57.5262209600005</v>
      </c>
      <c r="J13" s="63">
        <f t="shared" si="3"/>
        <v>0.8308691256885921</v>
      </c>
    </row>
    <row r="14" spans="1:10" ht="23.25">
      <c r="A14" s="3">
        <v>8</v>
      </c>
      <c r="B14" s="33" t="s">
        <v>80</v>
      </c>
      <c r="C14" s="5">
        <v>110</v>
      </c>
      <c r="D14" s="20">
        <f>3670593772.08/1000000</f>
        <v>3670.59377208</v>
      </c>
      <c r="E14" s="41">
        <f t="shared" si="0"/>
        <v>2.5979614733848484</v>
      </c>
      <c r="F14" s="5">
        <v>110</v>
      </c>
      <c r="G14" s="20">
        <v>4013.74</v>
      </c>
      <c r="H14" s="41">
        <f t="shared" si="1"/>
        <v>3.047826002169587</v>
      </c>
      <c r="I14" s="61">
        <f t="shared" si="2"/>
        <v>-343.14622792</v>
      </c>
      <c r="J14" s="63">
        <f t="shared" si="3"/>
        <v>-8.54928889066058</v>
      </c>
    </row>
    <row r="15" spans="1:10" ht="23.25">
      <c r="A15" s="3">
        <v>9</v>
      </c>
      <c r="B15" s="32" t="s">
        <v>57</v>
      </c>
      <c r="C15" s="39">
        <v>3</v>
      </c>
      <c r="D15" s="40">
        <f>3339806890.72/1000000</f>
        <v>3339.80689072</v>
      </c>
      <c r="E15" s="41">
        <f t="shared" si="0"/>
        <v>2.3638381606360697</v>
      </c>
      <c r="F15" s="39">
        <v>3</v>
      </c>
      <c r="G15" s="40">
        <v>3196.48333902</v>
      </c>
      <c r="H15" s="41">
        <f t="shared" si="1"/>
        <v>2.427243677011221</v>
      </c>
      <c r="I15" s="61">
        <f t="shared" si="2"/>
        <v>143.32355169999983</v>
      </c>
      <c r="J15" s="63">
        <f t="shared" si="3"/>
        <v>4.4837884793712375</v>
      </c>
    </row>
    <row r="16" spans="1:10" ht="23.25">
      <c r="A16" s="3">
        <v>10</v>
      </c>
      <c r="B16" s="32" t="s">
        <v>24</v>
      </c>
      <c r="C16" s="39">
        <v>59</v>
      </c>
      <c r="D16" s="20">
        <f>3260820187.18/1000000</f>
        <v>3260.8201871799997</v>
      </c>
      <c r="E16" s="41">
        <f t="shared" si="0"/>
        <v>2.307933196630666</v>
      </c>
      <c r="F16" s="39">
        <v>61</v>
      </c>
      <c r="G16" s="20">
        <v>3260.25</v>
      </c>
      <c r="H16" s="41">
        <f t="shared" si="1"/>
        <v>2.475664772400154</v>
      </c>
      <c r="I16" s="61">
        <f t="shared" si="2"/>
        <v>0.5701871799997207</v>
      </c>
      <c r="J16" s="63">
        <f t="shared" si="3"/>
        <v>0.017489063108648742</v>
      </c>
    </row>
    <row r="17" spans="1:10" ht="23.25">
      <c r="A17" s="3">
        <v>11</v>
      </c>
      <c r="B17" s="32" t="s">
        <v>31</v>
      </c>
      <c r="C17" s="5">
        <v>49</v>
      </c>
      <c r="D17" s="20">
        <f>3062028699.31/1000000</f>
        <v>3062.02869931</v>
      </c>
      <c r="E17" s="41">
        <f t="shared" si="0"/>
        <v>2.167233174020849</v>
      </c>
      <c r="F17" s="5">
        <v>49</v>
      </c>
      <c r="G17" s="20">
        <v>3104.02405336</v>
      </c>
      <c r="H17" s="41">
        <f t="shared" si="1"/>
        <v>2.357034890448919</v>
      </c>
      <c r="I17" s="61">
        <f t="shared" si="2"/>
        <v>-41.99535405000006</v>
      </c>
      <c r="J17" s="63">
        <f t="shared" si="3"/>
        <v>-1.3529326232037902</v>
      </c>
    </row>
    <row r="18" spans="1:10" ht="23.25">
      <c r="A18" s="3">
        <v>12</v>
      </c>
      <c r="B18" s="32" t="s">
        <v>46</v>
      </c>
      <c r="C18" s="54">
        <v>54</v>
      </c>
      <c r="D18" s="20">
        <f>2251482846.37/1000000</f>
        <v>2251.48284637</v>
      </c>
      <c r="E18" s="41">
        <f t="shared" si="0"/>
        <v>1.5935475446365013</v>
      </c>
      <c r="F18" s="39">
        <v>54</v>
      </c>
      <c r="G18" s="20">
        <v>2245.73705569</v>
      </c>
      <c r="H18" s="41">
        <f t="shared" si="1"/>
        <v>1.705296255454452</v>
      </c>
      <c r="I18" s="61">
        <f t="shared" si="2"/>
        <v>5.745790680000027</v>
      </c>
      <c r="J18" s="63">
        <f t="shared" si="3"/>
        <v>0.25585322491081397</v>
      </c>
    </row>
    <row r="19" spans="1:10" ht="23.25">
      <c r="A19" s="3">
        <v>13</v>
      </c>
      <c r="B19" s="32" t="s">
        <v>36</v>
      </c>
      <c r="C19" s="4">
        <v>35</v>
      </c>
      <c r="D19" s="20">
        <f>1936.07</f>
        <v>1936.07</v>
      </c>
      <c r="E19" s="41">
        <f t="shared" si="0"/>
        <v>1.370305618680862</v>
      </c>
      <c r="F19" s="4">
        <v>35</v>
      </c>
      <c r="G19" s="20">
        <v>1931.44</v>
      </c>
      <c r="H19" s="41">
        <f t="shared" si="1"/>
        <v>1.466635370908536</v>
      </c>
      <c r="I19" s="61">
        <f t="shared" si="2"/>
        <v>4.629999999999882</v>
      </c>
      <c r="J19" s="63">
        <f t="shared" si="3"/>
        <v>0.2397175164643935</v>
      </c>
    </row>
    <row r="20" spans="1:10" ht="23.25">
      <c r="A20" s="3">
        <v>14</v>
      </c>
      <c r="B20" s="32" t="s">
        <v>33</v>
      </c>
      <c r="C20" s="4">
        <v>3</v>
      </c>
      <c r="D20" s="20">
        <f>1655238445.04/1000000</f>
        <v>1655.23844504</v>
      </c>
      <c r="E20" s="41">
        <f t="shared" si="0"/>
        <v>1.1715395318841184</v>
      </c>
      <c r="F20" s="4">
        <v>3</v>
      </c>
      <c r="G20" s="20">
        <v>1657.85715613</v>
      </c>
      <c r="H20" s="41">
        <f t="shared" si="1"/>
        <v>1.2588907473667799</v>
      </c>
      <c r="I20" s="61">
        <f t="shared" si="2"/>
        <v>-2.6187110900000334</v>
      </c>
      <c r="J20" s="63">
        <f t="shared" si="3"/>
        <v>-0.157957582793984</v>
      </c>
    </row>
    <row r="21" spans="1:10" ht="23.25">
      <c r="A21" s="46">
        <v>15</v>
      </c>
      <c r="B21" s="32" t="s">
        <v>52</v>
      </c>
      <c r="C21" s="39">
        <v>12</v>
      </c>
      <c r="D21" s="40">
        <f>1638316939.42/1000000</f>
        <v>1638.3169394200002</v>
      </c>
      <c r="E21" s="41">
        <f t="shared" si="0"/>
        <v>1.1595628811289156</v>
      </c>
      <c r="F21" s="39">
        <v>12</v>
      </c>
      <c r="G21" s="40">
        <v>1608.5394172200001</v>
      </c>
      <c r="H21" s="41">
        <f t="shared" si="1"/>
        <v>1.22144141407212</v>
      </c>
      <c r="I21" s="61">
        <f t="shared" si="2"/>
        <v>29.77752220000002</v>
      </c>
      <c r="J21" s="63">
        <f t="shared" si="3"/>
        <v>1.8512149519757368</v>
      </c>
    </row>
    <row r="22" spans="1:10" ht="23.25">
      <c r="A22" s="3">
        <v>16</v>
      </c>
      <c r="B22" s="32" t="s">
        <v>51</v>
      </c>
      <c r="C22" s="4">
        <v>23</v>
      </c>
      <c r="D22" s="20">
        <f>1413097258.94/1000000</f>
        <v>1413.09725894</v>
      </c>
      <c r="E22" s="41">
        <f t="shared" si="0"/>
        <v>1.0001575943369854</v>
      </c>
      <c r="F22" s="4">
        <v>37</v>
      </c>
      <c r="G22" s="20">
        <v>1363.38458976</v>
      </c>
      <c r="H22" s="41">
        <f t="shared" si="1"/>
        <v>1.035283551906163</v>
      </c>
      <c r="I22" s="61">
        <f t="shared" si="2"/>
        <v>49.71266918000015</v>
      </c>
      <c r="J22" s="63">
        <f t="shared" si="3"/>
        <v>3.64626896573264</v>
      </c>
    </row>
    <row r="23" spans="1:10" ht="23.25">
      <c r="A23" s="3">
        <v>17</v>
      </c>
      <c r="B23" s="33" t="s">
        <v>23</v>
      </c>
      <c r="C23" s="4">
        <v>1</v>
      </c>
      <c r="D23" s="20">
        <f>1225826222.43/1000000</f>
        <v>1225.8262224300001</v>
      </c>
      <c r="E23" s="41">
        <f t="shared" si="0"/>
        <v>0.86761148105294</v>
      </c>
      <c r="F23" s="53">
        <v>0</v>
      </c>
      <c r="G23" s="58">
        <v>0</v>
      </c>
      <c r="H23" s="41">
        <f t="shared" si="1"/>
        <v>0</v>
      </c>
      <c r="I23" s="61">
        <f t="shared" si="2"/>
        <v>1225.8262224300001</v>
      </c>
      <c r="J23" s="63">
        <v>0</v>
      </c>
    </row>
    <row r="24" spans="1:10" ht="23.25">
      <c r="A24" s="3">
        <v>18</v>
      </c>
      <c r="B24" s="32" t="s">
        <v>32</v>
      </c>
      <c r="C24" s="4">
        <v>34</v>
      </c>
      <c r="D24" s="20">
        <f>864968381.18/1000000</f>
        <v>864.9683811799999</v>
      </c>
      <c r="E24" s="41">
        <f t="shared" si="0"/>
        <v>0.6122046375969069</v>
      </c>
      <c r="F24" s="4">
        <v>35</v>
      </c>
      <c r="G24" s="20">
        <v>935.2831534500001</v>
      </c>
      <c r="H24" s="41">
        <f t="shared" si="1"/>
        <v>0.7102055226487212</v>
      </c>
      <c r="I24" s="61">
        <f t="shared" si="2"/>
        <v>-70.31477227000016</v>
      </c>
      <c r="J24" s="63">
        <f t="shared" si="3"/>
        <v>-7.518019758041025</v>
      </c>
    </row>
    <row r="25" spans="1:10" ht="23.25">
      <c r="A25" s="21">
        <v>19</v>
      </c>
      <c r="B25" s="32" t="s">
        <v>34</v>
      </c>
      <c r="C25" s="39">
        <v>3</v>
      </c>
      <c r="D25" s="40">
        <f>855136068.42/1000000</f>
        <v>855.1360684199999</v>
      </c>
      <c r="E25" s="41">
        <f t="shared" si="0"/>
        <v>0.6052455537726362</v>
      </c>
      <c r="F25" s="39">
        <v>3</v>
      </c>
      <c r="G25" s="40">
        <v>827.13840828</v>
      </c>
      <c r="H25" s="41">
        <f t="shared" si="1"/>
        <v>0.6280860115874342</v>
      </c>
      <c r="I25" s="61">
        <f t="shared" si="2"/>
        <v>27.99766013999988</v>
      </c>
      <c r="J25" s="63">
        <f t="shared" si="3"/>
        <v>3.384882126102674</v>
      </c>
    </row>
    <row r="26" spans="1:10" ht="23.25">
      <c r="A26" s="21">
        <v>20</v>
      </c>
      <c r="B26" s="32" t="s">
        <v>16</v>
      </c>
      <c r="C26" s="5">
        <v>75</v>
      </c>
      <c r="D26" s="20">
        <f>586687203.3/1000000</f>
        <v>586.6872033</v>
      </c>
      <c r="E26" s="41">
        <f t="shared" si="0"/>
        <v>0.4152436487782731</v>
      </c>
      <c r="F26" s="5">
        <v>75</v>
      </c>
      <c r="G26" s="20">
        <v>587.92298206</v>
      </c>
      <c r="H26" s="41">
        <f t="shared" si="1"/>
        <v>0.4464382227039</v>
      </c>
      <c r="I26" s="61">
        <f t="shared" si="2"/>
        <v>-1.2357787600000165</v>
      </c>
      <c r="J26" s="63">
        <f t="shared" si="3"/>
        <v>-0.2101939875985151</v>
      </c>
    </row>
    <row r="27" spans="1:10" ht="23.25">
      <c r="A27" s="21">
        <v>21</v>
      </c>
      <c r="B27" s="32" t="s">
        <v>25</v>
      </c>
      <c r="C27" s="5">
        <v>5</v>
      </c>
      <c r="D27" s="20">
        <f>333541208.06/1000000</f>
        <v>333.54120806</v>
      </c>
      <c r="E27" s="41">
        <f t="shared" si="0"/>
        <v>0.23607276155625592</v>
      </c>
      <c r="F27" s="5">
        <v>5</v>
      </c>
      <c r="G27" s="20">
        <v>293.31147214</v>
      </c>
      <c r="H27" s="45">
        <f t="shared" si="1"/>
        <v>0.22272552071706994</v>
      </c>
      <c r="I27" s="61">
        <f t="shared" si="2"/>
        <v>40.229735919999996</v>
      </c>
      <c r="J27" s="63">
        <f t="shared" si="3"/>
        <v>13.715704887532668</v>
      </c>
    </row>
    <row r="28" spans="1:10" ht="23.25">
      <c r="A28" s="21">
        <v>22</v>
      </c>
      <c r="B28" s="32" t="s">
        <v>35</v>
      </c>
      <c r="C28" s="54">
        <v>6</v>
      </c>
      <c r="D28" s="20">
        <f>207562645.4/1000000</f>
        <v>207.5626454</v>
      </c>
      <c r="E28" s="41">
        <f t="shared" si="0"/>
        <v>0.1469080452772283</v>
      </c>
      <c r="F28" s="54">
        <v>6</v>
      </c>
      <c r="G28" s="20">
        <v>206.20330878000001</v>
      </c>
      <c r="H28" s="45">
        <f t="shared" si="1"/>
        <v>0.15658009891848707</v>
      </c>
      <c r="I28" s="61">
        <f t="shared" si="2"/>
        <v>1.3593366199999934</v>
      </c>
      <c r="J28" s="63">
        <f t="shared" si="3"/>
        <v>0.6592215362801382</v>
      </c>
    </row>
    <row r="29" spans="1:10" ht="23.25">
      <c r="A29" s="21">
        <v>23</v>
      </c>
      <c r="B29" s="32" t="s">
        <v>72</v>
      </c>
      <c r="C29" s="54">
        <v>3</v>
      </c>
      <c r="D29" s="42">
        <f>6962934.16/1000000</f>
        <v>6.9629341600000005</v>
      </c>
      <c r="E29" s="41">
        <f t="shared" si="0"/>
        <v>0.0049282039399158655</v>
      </c>
      <c r="F29" s="54">
        <v>3</v>
      </c>
      <c r="G29" s="20">
        <v>6.944884940000001</v>
      </c>
      <c r="H29" s="45">
        <f t="shared" si="1"/>
        <v>0.005273585459498615</v>
      </c>
      <c r="I29" s="61">
        <f t="shared" si="2"/>
        <v>0.018049219999999977</v>
      </c>
      <c r="J29" s="63">
        <f t="shared" si="3"/>
        <v>0.2598922826790558</v>
      </c>
    </row>
    <row r="30" spans="1:10" ht="24" thickBot="1">
      <c r="A30" s="21">
        <v>24</v>
      </c>
      <c r="B30" s="32" t="s">
        <v>58</v>
      </c>
      <c r="C30" s="54">
        <v>0</v>
      </c>
      <c r="D30" s="42">
        <v>0</v>
      </c>
      <c r="E30" s="41">
        <f t="shared" si="0"/>
        <v>0</v>
      </c>
      <c r="F30" s="39">
        <v>0</v>
      </c>
      <c r="G30" s="20">
        <v>0</v>
      </c>
      <c r="H30" s="45">
        <f t="shared" si="1"/>
        <v>0</v>
      </c>
      <c r="I30" s="61">
        <f t="shared" si="2"/>
        <v>0</v>
      </c>
      <c r="J30" s="63">
        <v>0</v>
      </c>
    </row>
    <row r="31" spans="1:11" ht="24" thickBot="1">
      <c r="A31" s="70" t="s">
        <v>11</v>
      </c>
      <c r="B31" s="71"/>
      <c r="C31" s="6">
        <f aca="true" t="shared" si="4" ref="C31:I31">SUM(C7:C30)</f>
        <v>1182</v>
      </c>
      <c r="D31" s="37">
        <f t="shared" si="4"/>
        <v>141287.45979045</v>
      </c>
      <c r="E31" s="38">
        <f t="shared" si="4"/>
        <v>99.99999999999999</v>
      </c>
      <c r="F31" s="6">
        <f t="shared" si="4"/>
        <v>1203</v>
      </c>
      <c r="G31" s="59">
        <f t="shared" si="4"/>
        <v>131691.9009531</v>
      </c>
      <c r="H31" s="60">
        <f t="shared" si="4"/>
        <v>99.99999999999997</v>
      </c>
      <c r="I31" s="43">
        <f t="shared" si="4"/>
        <v>9595.558837349994</v>
      </c>
      <c r="J31" s="66">
        <f>(D31-G31)/G31*100</f>
        <v>7.286369752356523</v>
      </c>
      <c r="K31" s="7"/>
    </row>
    <row r="32" spans="1:11" ht="5.25" customHeight="1">
      <c r="A32" s="22"/>
      <c r="B32" s="34"/>
      <c r="C32" s="23"/>
      <c r="D32" s="24"/>
      <c r="E32" s="25"/>
      <c r="F32" s="23"/>
      <c r="G32" s="24"/>
      <c r="H32" s="25"/>
      <c r="I32" s="26"/>
      <c r="J32" s="27"/>
      <c r="K32" s="7"/>
    </row>
    <row r="33" spans="2:10" ht="21">
      <c r="B33" s="35" t="s">
        <v>79</v>
      </c>
      <c r="H33" s="17" t="s">
        <v>10</v>
      </c>
      <c r="J33" s="18"/>
    </row>
    <row r="34" spans="2:10" ht="21">
      <c r="B34" s="68" t="s">
        <v>54</v>
      </c>
      <c r="H34" s="17" t="s">
        <v>9</v>
      </c>
      <c r="J34" s="18"/>
    </row>
    <row r="35" spans="2:10" ht="21">
      <c r="B35" s="67"/>
      <c r="H35" s="17"/>
      <c r="J35" s="18"/>
    </row>
    <row r="36" spans="2:10" ht="21">
      <c r="B36" s="67"/>
      <c r="H36" s="17"/>
      <c r="J36" s="18"/>
    </row>
    <row r="38" ht="21">
      <c r="F38" s="64"/>
    </row>
  </sheetData>
  <mergeCells count="6">
    <mergeCell ref="A31:B31"/>
    <mergeCell ref="F4:H4"/>
    <mergeCell ref="A1:J1"/>
    <mergeCell ref="A2:J2"/>
    <mergeCell ref="C4:E4"/>
    <mergeCell ref="I4:J4"/>
  </mergeCells>
  <printOptions horizontalCentered="1" verticalCentered="1"/>
  <pageMargins left="0.1968503937007874" right="0.1968503937007874" top="0.17" bottom="0.17" header="0.25" footer="0.15748031496062992"/>
  <pageSetup fitToHeight="1" fitToWidth="1" horizontalDpi="1200" verticalDpi="1200" orientation="landscape" paperSize="9" scale="8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zoomScale="75" zoomScaleNormal="75" workbookViewId="0" topLeftCell="A1">
      <selection activeCell="D9" sqref="D9"/>
    </sheetView>
  </sheetViews>
  <sheetFormatPr defaultColWidth="9.140625" defaultRowHeight="21.75"/>
  <cols>
    <col min="1" max="1" width="6.57421875" style="1" customWidth="1"/>
    <col min="2" max="2" width="55.7109375" style="35" customWidth="1"/>
    <col min="3" max="3" width="11.00390625" style="1" customWidth="1"/>
    <col min="4" max="4" width="14.8515625" style="1" customWidth="1"/>
    <col min="5" max="5" width="10.421875" style="1" customWidth="1"/>
    <col min="6" max="6" width="10.7109375" style="1" customWidth="1"/>
    <col min="7" max="7" width="14.7109375" style="1" customWidth="1"/>
    <col min="8" max="8" width="10.00390625" style="1" customWidth="1"/>
    <col min="9" max="9" width="15.00390625" style="1" customWidth="1"/>
    <col min="10" max="10" width="10.28125" style="1" customWidth="1"/>
    <col min="11" max="16384" width="9.140625" style="1" customWidth="1"/>
  </cols>
  <sheetData>
    <row r="1" spans="1:10" ht="23.25">
      <c r="A1" s="75" t="s">
        <v>12</v>
      </c>
      <c r="B1" s="76"/>
      <c r="C1" s="76"/>
      <c r="D1" s="76"/>
      <c r="E1" s="76"/>
      <c r="F1" s="76"/>
      <c r="G1" s="76"/>
      <c r="H1" s="76"/>
      <c r="I1" s="76"/>
      <c r="J1" s="76"/>
    </row>
    <row r="2" spans="1:10" ht="23.25">
      <c r="A2" s="75" t="s">
        <v>82</v>
      </c>
      <c r="B2" s="76"/>
      <c r="C2" s="76"/>
      <c r="D2" s="76"/>
      <c r="E2" s="76"/>
      <c r="F2" s="76"/>
      <c r="G2" s="76"/>
      <c r="H2" s="76"/>
      <c r="I2" s="76"/>
      <c r="J2" s="76"/>
    </row>
    <row r="3" spans="1:10" ht="5.25" customHeight="1" thickBot="1">
      <c r="A3" s="19"/>
      <c r="B3" s="28"/>
      <c r="C3" s="2"/>
      <c r="D3" s="19"/>
      <c r="E3" s="19"/>
      <c r="F3" s="2"/>
      <c r="G3" s="2"/>
      <c r="H3" s="2"/>
      <c r="I3" s="19"/>
      <c r="J3" s="19"/>
    </row>
    <row r="4" spans="1:10" ht="22.5" customHeight="1" thickBot="1">
      <c r="A4" s="8"/>
      <c r="B4" s="29"/>
      <c r="C4" s="72" t="s">
        <v>81</v>
      </c>
      <c r="D4" s="73"/>
      <c r="E4" s="74"/>
      <c r="F4" s="72" t="s">
        <v>78</v>
      </c>
      <c r="G4" s="73"/>
      <c r="H4" s="74"/>
      <c r="I4" s="77" t="s">
        <v>8</v>
      </c>
      <c r="J4" s="74"/>
    </row>
    <row r="5" spans="1:10" ht="23.25">
      <c r="A5" s="9" t="s">
        <v>0</v>
      </c>
      <c r="B5" s="30" t="s">
        <v>1</v>
      </c>
      <c r="C5" s="10" t="s">
        <v>2</v>
      </c>
      <c r="D5" s="11" t="s">
        <v>5</v>
      </c>
      <c r="E5" s="12" t="s">
        <v>3</v>
      </c>
      <c r="F5" s="10" t="s">
        <v>2</v>
      </c>
      <c r="G5" s="11" t="s">
        <v>5</v>
      </c>
      <c r="H5" s="56" t="s">
        <v>3</v>
      </c>
      <c r="I5" s="10" t="s">
        <v>5</v>
      </c>
      <c r="J5" s="56" t="s">
        <v>7</v>
      </c>
    </row>
    <row r="6" spans="1:10" ht="24" thickBot="1">
      <c r="A6" s="13"/>
      <c r="B6" s="31"/>
      <c r="C6" s="14" t="s">
        <v>4</v>
      </c>
      <c r="D6" s="15" t="s">
        <v>6</v>
      </c>
      <c r="E6" s="16"/>
      <c r="F6" s="14" t="s">
        <v>4</v>
      </c>
      <c r="G6" s="15" t="s">
        <v>6</v>
      </c>
      <c r="H6" s="57"/>
      <c r="I6" s="14" t="s">
        <v>6</v>
      </c>
      <c r="J6" s="57"/>
    </row>
    <row r="7" spans="1:10" ht="23.25">
      <c r="A7" s="3">
        <v>1</v>
      </c>
      <c r="B7" s="32" t="s">
        <v>22</v>
      </c>
      <c r="C7" s="39">
        <v>204</v>
      </c>
      <c r="D7" s="20">
        <f>27483690709.55/1000000</f>
        <v>27483.69070955</v>
      </c>
      <c r="E7" s="41">
        <f aca="true" t="shared" si="0" ref="E7:E30">(D7/$D$31)*100</f>
        <v>19.100256659898662</v>
      </c>
      <c r="F7" s="39">
        <v>201</v>
      </c>
      <c r="G7" s="20">
        <v>26905.79057975</v>
      </c>
      <c r="H7" s="44">
        <f aca="true" t="shared" si="1" ref="H7:H30">(G7/$G$31)*100</f>
        <v>19.043296991576767</v>
      </c>
      <c r="I7" s="61">
        <f aca="true" t="shared" si="2" ref="I7:I30">(D7-G7)</f>
        <v>577.9001298000003</v>
      </c>
      <c r="J7" s="62">
        <f aca="true" t="shared" si="3" ref="J7:J22">(D7-G7)/G7*100</f>
        <v>2.147865263750856</v>
      </c>
    </row>
    <row r="8" spans="1:10" ht="23.25">
      <c r="A8" s="3">
        <v>2</v>
      </c>
      <c r="B8" s="32" t="s">
        <v>19</v>
      </c>
      <c r="C8" s="4">
        <v>132</v>
      </c>
      <c r="D8" s="20">
        <f>23981679308.39/1000000</f>
        <v>23981.67930839</v>
      </c>
      <c r="E8" s="41">
        <f t="shared" si="0"/>
        <v>16.66647448359129</v>
      </c>
      <c r="F8" s="4">
        <v>129</v>
      </c>
      <c r="G8" s="20">
        <v>23598.515331619998</v>
      </c>
      <c r="H8" s="41">
        <f t="shared" si="1"/>
        <v>16.702483976016026</v>
      </c>
      <c r="I8" s="61">
        <f t="shared" si="2"/>
        <v>383.1639767700035</v>
      </c>
      <c r="J8" s="63">
        <f t="shared" si="3"/>
        <v>1.6236783178329717</v>
      </c>
    </row>
    <row r="9" spans="1:10" ht="23.25">
      <c r="A9" s="3">
        <v>3</v>
      </c>
      <c r="B9" s="32" t="s">
        <v>17</v>
      </c>
      <c r="C9" s="39">
        <v>47</v>
      </c>
      <c r="D9" s="20">
        <f>16777906557.03/1000000</f>
        <v>16777.90655703</v>
      </c>
      <c r="E9" s="41">
        <f t="shared" si="0"/>
        <v>11.660090518473046</v>
      </c>
      <c r="F9" s="39">
        <v>48</v>
      </c>
      <c r="G9" s="20">
        <v>16602.058256059998</v>
      </c>
      <c r="H9" s="41">
        <f t="shared" si="1"/>
        <v>11.750553290917171</v>
      </c>
      <c r="I9" s="61">
        <f t="shared" si="2"/>
        <v>175.84830097000304</v>
      </c>
      <c r="J9" s="63">
        <f t="shared" si="3"/>
        <v>1.059195783184388</v>
      </c>
    </row>
    <row r="10" spans="1:10" ht="23.25">
      <c r="A10" s="3">
        <v>4</v>
      </c>
      <c r="B10" s="32" t="s">
        <v>26</v>
      </c>
      <c r="C10" s="4">
        <v>19</v>
      </c>
      <c r="D10" s="20">
        <f>16661733815.11/1000000</f>
        <v>16661.73381511</v>
      </c>
      <c r="E10" s="41">
        <f t="shared" si="0"/>
        <v>11.579354302547538</v>
      </c>
      <c r="F10" s="4">
        <v>18</v>
      </c>
      <c r="G10" s="20">
        <v>16367.48876656</v>
      </c>
      <c r="H10" s="41">
        <f t="shared" si="1"/>
        <v>11.584530425301285</v>
      </c>
      <c r="I10" s="61">
        <f t="shared" si="2"/>
        <v>294.24504855000123</v>
      </c>
      <c r="J10" s="63">
        <f t="shared" si="3"/>
        <v>1.7977409530970065</v>
      </c>
    </row>
    <row r="11" spans="1:10" ht="23.25">
      <c r="A11" s="3">
        <v>5</v>
      </c>
      <c r="B11" s="32" t="s">
        <v>21</v>
      </c>
      <c r="C11" s="4">
        <v>11</v>
      </c>
      <c r="D11" s="20">
        <f>16133687.86/1000</f>
        <v>16133.68786</v>
      </c>
      <c r="E11" s="41">
        <f t="shared" si="0"/>
        <v>11.212379816572923</v>
      </c>
      <c r="F11" s="4">
        <v>11</v>
      </c>
      <c r="G11" s="20">
        <v>15830.88508</v>
      </c>
      <c r="H11" s="41">
        <f t="shared" si="1"/>
        <v>11.204734732636231</v>
      </c>
      <c r="I11" s="61">
        <f t="shared" si="2"/>
        <v>302.80278</v>
      </c>
      <c r="J11" s="63">
        <f t="shared" si="3"/>
        <v>1.9127343699977133</v>
      </c>
    </row>
    <row r="12" spans="1:10" ht="23.25">
      <c r="A12" s="3">
        <v>6</v>
      </c>
      <c r="B12" s="32" t="s">
        <v>14</v>
      </c>
      <c r="C12" s="39">
        <f>25+1</f>
        <v>26</v>
      </c>
      <c r="D12" s="20">
        <f>(514953506.06+8223131098.41)/1000000</f>
        <v>8738.08460447</v>
      </c>
      <c r="E12" s="41">
        <f t="shared" si="0"/>
        <v>6.072679991384562</v>
      </c>
      <c r="F12" s="39">
        <v>25</v>
      </c>
      <c r="G12" s="20">
        <v>8693.43585349</v>
      </c>
      <c r="H12" s="41">
        <f t="shared" si="1"/>
        <v>6.153013060312387</v>
      </c>
      <c r="I12" s="61">
        <f t="shared" si="2"/>
        <v>44.64875097999902</v>
      </c>
      <c r="J12" s="63">
        <f t="shared" si="3"/>
        <v>0.5135915388629074</v>
      </c>
    </row>
    <row r="13" spans="1:10" ht="23.25">
      <c r="A13" s="3">
        <v>7</v>
      </c>
      <c r="B13" s="33" t="s">
        <v>30</v>
      </c>
      <c r="C13" s="5">
        <v>269</v>
      </c>
      <c r="D13" s="20">
        <v>6905.76350971</v>
      </c>
      <c r="E13" s="41">
        <f t="shared" si="0"/>
        <v>4.799277391889383</v>
      </c>
      <c r="F13" s="5">
        <v>275</v>
      </c>
      <c r="G13" s="20">
        <v>6981.14622096</v>
      </c>
      <c r="H13" s="41">
        <f t="shared" si="1"/>
        <v>4.941094015926157</v>
      </c>
      <c r="I13" s="61">
        <f t="shared" si="2"/>
        <v>-75.38271125000028</v>
      </c>
      <c r="J13" s="63">
        <f t="shared" si="3"/>
        <v>-1.0798042164433301</v>
      </c>
    </row>
    <row r="14" spans="1:10" ht="23.25">
      <c r="A14" s="3">
        <v>8</v>
      </c>
      <c r="B14" s="33" t="s">
        <v>80</v>
      </c>
      <c r="C14" s="5">
        <v>110</v>
      </c>
      <c r="D14" s="20">
        <f>3736101256.82/1000000</f>
        <v>3736.1012568200003</v>
      </c>
      <c r="E14" s="41">
        <f t="shared" si="0"/>
        <v>2.5964668889188056</v>
      </c>
      <c r="F14" s="5">
        <v>110</v>
      </c>
      <c r="G14" s="20">
        <v>3670.59377208</v>
      </c>
      <c r="H14" s="41">
        <f t="shared" si="1"/>
        <v>2.5979614733848484</v>
      </c>
      <c r="I14" s="61">
        <f t="shared" si="2"/>
        <v>65.50748474000056</v>
      </c>
      <c r="J14" s="63">
        <f t="shared" si="3"/>
        <v>1.7846563473810866</v>
      </c>
    </row>
    <row r="15" spans="1:10" ht="23.25">
      <c r="A15" s="3">
        <v>9</v>
      </c>
      <c r="B15" s="32" t="s">
        <v>57</v>
      </c>
      <c r="C15" s="39">
        <v>3</v>
      </c>
      <c r="D15" s="40">
        <f>3427114971.75/1000000</f>
        <v>3427.11497175</v>
      </c>
      <c r="E15" s="41">
        <f t="shared" si="0"/>
        <v>2.3817316333232066</v>
      </c>
      <c r="F15" s="39">
        <v>3</v>
      </c>
      <c r="G15" s="40">
        <v>3339.80689072</v>
      </c>
      <c r="H15" s="41">
        <f t="shared" si="1"/>
        <v>2.3638381606360697</v>
      </c>
      <c r="I15" s="61">
        <f t="shared" si="2"/>
        <v>87.30808103000027</v>
      </c>
      <c r="J15" s="63">
        <f t="shared" si="3"/>
        <v>2.614165545696514</v>
      </c>
    </row>
    <row r="16" spans="1:10" ht="23.25">
      <c r="A16" s="3">
        <v>10</v>
      </c>
      <c r="B16" s="32" t="s">
        <v>24</v>
      </c>
      <c r="C16" s="39">
        <v>56</v>
      </c>
      <c r="D16" s="20">
        <f>3255625358.12/1000000</f>
        <v>3255.62535812</v>
      </c>
      <c r="E16" s="41">
        <f t="shared" si="0"/>
        <v>2.262552019876978</v>
      </c>
      <c r="F16" s="39">
        <v>59</v>
      </c>
      <c r="G16" s="20">
        <v>3260.8201871799997</v>
      </c>
      <c r="H16" s="41">
        <f t="shared" si="1"/>
        <v>2.307933196630666</v>
      </c>
      <c r="I16" s="61">
        <f t="shared" si="2"/>
        <v>-5.194829059999847</v>
      </c>
      <c r="J16" s="63">
        <f t="shared" si="3"/>
        <v>-0.15931050354826232</v>
      </c>
    </row>
    <row r="17" spans="1:10" ht="23.25">
      <c r="A17" s="3">
        <v>11</v>
      </c>
      <c r="B17" s="32" t="s">
        <v>31</v>
      </c>
      <c r="C17" s="5">
        <v>48</v>
      </c>
      <c r="D17" s="20">
        <f>3011901506.05/1000000</f>
        <v>3011.90150605</v>
      </c>
      <c r="E17" s="41">
        <f t="shared" si="0"/>
        <v>2.0931719981807437</v>
      </c>
      <c r="F17" s="5">
        <v>49</v>
      </c>
      <c r="G17" s="20">
        <v>3062.02869931</v>
      </c>
      <c r="H17" s="41">
        <f t="shared" si="1"/>
        <v>2.167233174020849</v>
      </c>
      <c r="I17" s="61">
        <f t="shared" si="2"/>
        <v>-50.127193259999785</v>
      </c>
      <c r="J17" s="63">
        <f t="shared" si="3"/>
        <v>-1.6370582441404122</v>
      </c>
    </row>
    <row r="18" spans="1:10" ht="23.25">
      <c r="A18" s="3">
        <v>12</v>
      </c>
      <c r="B18" s="32" t="s">
        <v>46</v>
      </c>
      <c r="C18" s="54">
        <v>54</v>
      </c>
      <c r="D18" s="20">
        <f>2233204963.87/1000000</f>
        <v>2233.20496387</v>
      </c>
      <c r="E18" s="41">
        <f t="shared" si="0"/>
        <v>1.5520036386254008</v>
      </c>
      <c r="F18" s="39">
        <v>54</v>
      </c>
      <c r="G18" s="20">
        <v>2251.48284637</v>
      </c>
      <c r="H18" s="41">
        <f t="shared" si="1"/>
        <v>1.5935475446365013</v>
      </c>
      <c r="I18" s="61">
        <f t="shared" si="2"/>
        <v>-18.277882500000032</v>
      </c>
      <c r="J18" s="63">
        <f t="shared" si="3"/>
        <v>-0.811815312271596</v>
      </c>
    </row>
    <row r="19" spans="1:10" ht="23.25">
      <c r="A19" s="3">
        <v>13</v>
      </c>
      <c r="B19" s="32" t="s">
        <v>36</v>
      </c>
      <c r="C19" s="4">
        <v>35</v>
      </c>
      <c r="D19" s="20">
        <f>1954561598.82/1000000</f>
        <v>1954.56159882</v>
      </c>
      <c r="E19" s="41">
        <f t="shared" si="0"/>
        <v>1.3583557095580174</v>
      </c>
      <c r="F19" s="4">
        <v>35</v>
      </c>
      <c r="G19" s="20">
        <v>1936.07</v>
      </c>
      <c r="H19" s="41">
        <f t="shared" si="1"/>
        <v>1.370305618680862</v>
      </c>
      <c r="I19" s="61">
        <f t="shared" si="2"/>
        <v>18.491598820000036</v>
      </c>
      <c r="J19" s="63">
        <f t="shared" si="3"/>
        <v>0.9551100332116109</v>
      </c>
    </row>
    <row r="20" spans="1:10" ht="23.25">
      <c r="A20" s="3">
        <v>14</v>
      </c>
      <c r="B20" s="32" t="s">
        <v>33</v>
      </c>
      <c r="C20" s="4">
        <v>4</v>
      </c>
      <c r="D20" s="20">
        <f>1759540564.27/1000000</f>
        <v>1759.54056427</v>
      </c>
      <c r="E20" s="41">
        <f t="shared" si="0"/>
        <v>1.2228225363263152</v>
      </c>
      <c r="F20" s="4">
        <v>3</v>
      </c>
      <c r="G20" s="20">
        <v>1655.23844504</v>
      </c>
      <c r="H20" s="41">
        <f t="shared" si="1"/>
        <v>1.1715395318841184</v>
      </c>
      <c r="I20" s="61">
        <f t="shared" si="2"/>
        <v>104.30211923000002</v>
      </c>
      <c r="J20" s="63">
        <f t="shared" si="3"/>
        <v>6.301334985454588</v>
      </c>
    </row>
    <row r="21" spans="1:10" ht="23.25">
      <c r="A21" s="46">
        <v>15</v>
      </c>
      <c r="B21" s="32" t="s">
        <v>52</v>
      </c>
      <c r="C21" s="39">
        <v>12</v>
      </c>
      <c r="D21" s="40">
        <f>1668671402.97/1000000</f>
        <v>1668.67140297</v>
      </c>
      <c r="E21" s="41">
        <f t="shared" si="0"/>
        <v>1.1596714726048536</v>
      </c>
      <c r="F21" s="39">
        <v>12</v>
      </c>
      <c r="G21" s="40">
        <v>1638.3169394200002</v>
      </c>
      <c r="H21" s="41">
        <f t="shared" si="1"/>
        <v>1.1595628811289156</v>
      </c>
      <c r="I21" s="61">
        <f t="shared" si="2"/>
        <v>30.354463549999764</v>
      </c>
      <c r="J21" s="63">
        <f t="shared" si="3"/>
        <v>1.852783354650896</v>
      </c>
    </row>
    <row r="22" spans="1:10" ht="23.25">
      <c r="A22" s="3">
        <v>16</v>
      </c>
      <c r="B22" s="32" t="s">
        <v>51</v>
      </c>
      <c r="C22" s="4">
        <v>43</v>
      </c>
      <c r="D22" s="20">
        <f>1645759769.98/1000000</f>
        <v>1645.75976998</v>
      </c>
      <c r="E22" s="41">
        <f t="shared" si="0"/>
        <v>1.1437486449456726</v>
      </c>
      <c r="F22" s="4">
        <v>23</v>
      </c>
      <c r="G22" s="20">
        <v>1413.09725894</v>
      </c>
      <c r="H22" s="41">
        <f t="shared" si="1"/>
        <v>1.0001575943369854</v>
      </c>
      <c r="I22" s="61">
        <f t="shared" si="2"/>
        <v>232.66251104000003</v>
      </c>
      <c r="J22" s="63">
        <f t="shared" si="3"/>
        <v>16.464720285037284</v>
      </c>
    </row>
    <row r="23" spans="1:10" ht="23.25">
      <c r="A23" s="3">
        <v>17</v>
      </c>
      <c r="B23" s="33" t="s">
        <v>23</v>
      </c>
      <c r="C23" s="4">
        <v>1</v>
      </c>
      <c r="D23" s="20">
        <f>1304588829.45/1000000</f>
        <v>1304.58882945</v>
      </c>
      <c r="E23" s="41">
        <f t="shared" si="0"/>
        <v>0.9066461175635807</v>
      </c>
      <c r="F23" s="53">
        <v>1</v>
      </c>
      <c r="G23" s="58">
        <v>1225.8262224300001</v>
      </c>
      <c r="H23" s="41">
        <f t="shared" si="1"/>
        <v>0.86761148105294</v>
      </c>
      <c r="I23" s="61">
        <f t="shared" si="2"/>
        <v>78.7626070199999</v>
      </c>
      <c r="J23" s="63">
        <v>0</v>
      </c>
    </row>
    <row r="24" spans="1:10" ht="23.25">
      <c r="A24" s="3">
        <v>18</v>
      </c>
      <c r="B24" s="32" t="s">
        <v>32</v>
      </c>
      <c r="C24" s="4">
        <v>34</v>
      </c>
      <c r="D24" s="20">
        <f>950019327.05/1000000</f>
        <v>950.0193270499999</v>
      </c>
      <c r="E24" s="41">
        <f t="shared" si="0"/>
        <v>0.6602320325273487</v>
      </c>
      <c r="F24" s="4">
        <v>34</v>
      </c>
      <c r="G24" s="20">
        <v>864.9683811799999</v>
      </c>
      <c r="H24" s="41">
        <f t="shared" si="1"/>
        <v>0.6122046375969069</v>
      </c>
      <c r="I24" s="61">
        <f t="shared" si="2"/>
        <v>85.05094586999996</v>
      </c>
      <c r="J24" s="63">
        <f aca="true" t="shared" si="4" ref="J24:J29">(D24-G24)/G24*100</f>
        <v>9.832838716482616</v>
      </c>
    </row>
    <row r="25" spans="1:10" ht="23.25">
      <c r="A25" s="21">
        <v>19</v>
      </c>
      <c r="B25" s="32" t="s">
        <v>34</v>
      </c>
      <c r="C25" s="39">
        <v>3</v>
      </c>
      <c r="D25" s="40">
        <v>908.03690212</v>
      </c>
      <c r="E25" s="41">
        <f t="shared" si="0"/>
        <v>0.6310556347923352</v>
      </c>
      <c r="F25" s="39">
        <v>3</v>
      </c>
      <c r="G25" s="40">
        <v>855.1360684199999</v>
      </c>
      <c r="H25" s="41">
        <f t="shared" si="1"/>
        <v>0.6052455537726362</v>
      </c>
      <c r="I25" s="61">
        <f t="shared" si="2"/>
        <v>52.900833700000135</v>
      </c>
      <c r="J25" s="63">
        <f t="shared" si="4"/>
        <v>6.186247505352318</v>
      </c>
    </row>
    <row r="26" spans="1:10" ht="23.25">
      <c r="A26" s="21">
        <v>20</v>
      </c>
      <c r="B26" s="32" t="s">
        <v>16</v>
      </c>
      <c r="C26" s="5">
        <v>77</v>
      </c>
      <c r="D26" s="20">
        <f>597259551.02/1000000</f>
        <v>597.25955102</v>
      </c>
      <c r="E26" s="41">
        <f t="shared" si="0"/>
        <v>0.41507564750369813</v>
      </c>
      <c r="F26" s="5">
        <v>75</v>
      </c>
      <c r="G26" s="20">
        <v>586.6872033</v>
      </c>
      <c r="H26" s="41">
        <f t="shared" si="1"/>
        <v>0.4152436487782731</v>
      </c>
      <c r="I26" s="61">
        <f t="shared" si="2"/>
        <v>10.572347720000039</v>
      </c>
      <c r="J26" s="63">
        <f t="shared" si="4"/>
        <v>1.8020416434060031</v>
      </c>
    </row>
    <row r="27" spans="1:10" ht="23.25">
      <c r="A27" s="21">
        <v>21</v>
      </c>
      <c r="B27" s="32" t="s">
        <v>25</v>
      </c>
      <c r="C27" s="5">
        <v>7</v>
      </c>
      <c r="D27" s="20">
        <v>536.18789611</v>
      </c>
      <c r="E27" s="41">
        <f t="shared" si="0"/>
        <v>0.37263286586446104</v>
      </c>
      <c r="F27" s="5">
        <v>5</v>
      </c>
      <c r="G27" s="20">
        <v>333.54120806</v>
      </c>
      <c r="H27" s="45">
        <f t="shared" si="1"/>
        <v>0.23607276155625592</v>
      </c>
      <c r="I27" s="61">
        <f t="shared" si="2"/>
        <v>202.64668805000002</v>
      </c>
      <c r="J27" s="63">
        <f t="shared" si="4"/>
        <v>60.75611743108706</v>
      </c>
    </row>
    <row r="28" spans="1:10" ht="23.25">
      <c r="A28" s="21">
        <v>22</v>
      </c>
      <c r="B28" s="32" t="s">
        <v>35</v>
      </c>
      <c r="C28" s="54">
        <v>6</v>
      </c>
      <c r="D28" s="20">
        <f>213267267.42/1000000</f>
        <v>213.26726742</v>
      </c>
      <c r="E28" s="41">
        <f t="shared" si="0"/>
        <v>0.14821370200697984</v>
      </c>
      <c r="F28" s="54">
        <v>6</v>
      </c>
      <c r="G28" s="20">
        <v>207.5626454</v>
      </c>
      <c r="H28" s="45">
        <f t="shared" si="1"/>
        <v>0.1469080452772283</v>
      </c>
      <c r="I28" s="61">
        <f t="shared" si="2"/>
        <v>5.704622019999988</v>
      </c>
      <c r="J28" s="63">
        <f t="shared" si="4"/>
        <v>2.7483856784569523</v>
      </c>
    </row>
    <row r="29" spans="1:10" ht="23.25">
      <c r="A29" s="21">
        <v>23</v>
      </c>
      <c r="B29" s="32" t="s">
        <v>72</v>
      </c>
      <c r="C29" s="54">
        <v>3</v>
      </c>
      <c r="D29" s="42">
        <f>7347533.63/1000000</f>
        <v>7.34753363</v>
      </c>
      <c r="E29" s="41">
        <f t="shared" si="0"/>
        <v>0.005106293024228795</v>
      </c>
      <c r="F29" s="54">
        <v>3</v>
      </c>
      <c r="G29" s="20">
        <v>6.9629341600000005</v>
      </c>
      <c r="H29" s="45">
        <f t="shared" si="1"/>
        <v>0.0049282039399158655</v>
      </c>
      <c r="I29" s="61">
        <f t="shared" si="2"/>
        <v>0.3845994699999995</v>
      </c>
      <c r="J29" s="63">
        <f t="shared" si="4"/>
        <v>5.523525875189368</v>
      </c>
    </row>
    <row r="30" spans="1:10" ht="24" thickBot="1">
      <c r="A30" s="21">
        <v>24</v>
      </c>
      <c r="B30" s="32" t="s">
        <v>58</v>
      </c>
      <c r="C30" s="54">
        <v>0</v>
      </c>
      <c r="D30" s="42">
        <v>0</v>
      </c>
      <c r="E30" s="41">
        <f t="shared" si="0"/>
        <v>0</v>
      </c>
      <c r="F30" s="39">
        <v>0</v>
      </c>
      <c r="G30" s="20">
        <v>0</v>
      </c>
      <c r="H30" s="45">
        <f t="shared" si="1"/>
        <v>0</v>
      </c>
      <c r="I30" s="61">
        <f t="shared" si="2"/>
        <v>0</v>
      </c>
      <c r="J30" s="63">
        <v>0</v>
      </c>
    </row>
    <row r="31" spans="1:11" ht="24" thickBot="1">
      <c r="A31" s="70" t="s">
        <v>11</v>
      </c>
      <c r="B31" s="71"/>
      <c r="C31" s="6">
        <f aca="true" t="shared" si="5" ref="C31:I31">SUM(C7:C30)</f>
        <v>1204</v>
      </c>
      <c r="D31" s="37">
        <f t="shared" si="5"/>
        <v>143891.73506370996</v>
      </c>
      <c r="E31" s="38">
        <f t="shared" si="5"/>
        <v>100.00000000000004</v>
      </c>
      <c r="F31" s="6">
        <f t="shared" si="5"/>
        <v>1182</v>
      </c>
      <c r="G31" s="59">
        <f t="shared" si="5"/>
        <v>141287.45979045</v>
      </c>
      <c r="H31" s="60">
        <f t="shared" si="5"/>
        <v>99.99999999999999</v>
      </c>
      <c r="I31" s="43">
        <f t="shared" si="5"/>
        <v>2604.275273260008</v>
      </c>
      <c r="J31" s="66">
        <f>(D31-G31)/G31*100</f>
        <v>1.84324587413666</v>
      </c>
      <c r="K31" s="7"/>
    </row>
    <row r="32" spans="1:11" ht="5.25" customHeight="1">
      <c r="A32" s="22"/>
      <c r="B32" s="34"/>
      <c r="C32" s="23"/>
      <c r="D32" s="24"/>
      <c r="E32" s="25"/>
      <c r="F32" s="23"/>
      <c r="G32" s="24"/>
      <c r="H32" s="25"/>
      <c r="I32" s="26"/>
      <c r="J32" s="27"/>
      <c r="K32" s="7"/>
    </row>
    <row r="33" spans="2:10" ht="21">
      <c r="B33" s="35" t="s">
        <v>83</v>
      </c>
      <c r="H33" s="17" t="s">
        <v>10</v>
      </c>
      <c r="J33" s="18"/>
    </row>
    <row r="34" spans="2:10" ht="21">
      <c r="B34" s="68" t="s">
        <v>54</v>
      </c>
      <c r="H34" s="17" t="s">
        <v>9</v>
      </c>
      <c r="J34" s="18"/>
    </row>
    <row r="35" spans="2:10" ht="21">
      <c r="B35" s="67"/>
      <c r="H35" s="17"/>
      <c r="J35" s="18"/>
    </row>
    <row r="36" spans="2:10" ht="21">
      <c r="B36" s="67"/>
      <c r="H36" s="17"/>
      <c r="J36" s="18"/>
    </row>
    <row r="38" ht="21">
      <c r="F38" s="64"/>
    </row>
  </sheetData>
  <mergeCells count="6">
    <mergeCell ref="A31:B31"/>
    <mergeCell ref="F4:H4"/>
    <mergeCell ref="A1:J1"/>
    <mergeCell ref="A2:J2"/>
    <mergeCell ref="C4:E4"/>
    <mergeCell ref="I4:J4"/>
  </mergeCells>
  <printOptions horizontalCentered="1" verticalCentered="1"/>
  <pageMargins left="0.1968503937007874" right="0.1968503937007874" top="0.17" bottom="0.17" header="0.25" footer="0.15748031496062992"/>
  <pageSetup fitToHeight="1" fitToWidth="1" horizontalDpi="1200" verticalDpi="1200" orientation="landscape" paperSize="9" scale="8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zoomScale="75" zoomScaleNormal="75" workbookViewId="0" topLeftCell="A1">
      <selection activeCell="J22" sqref="J22"/>
    </sheetView>
  </sheetViews>
  <sheetFormatPr defaultColWidth="9.140625" defaultRowHeight="21.75"/>
  <cols>
    <col min="1" max="1" width="6.57421875" style="1" customWidth="1"/>
    <col min="2" max="2" width="55.7109375" style="35" customWidth="1"/>
    <col min="3" max="3" width="11.00390625" style="1" customWidth="1"/>
    <col min="4" max="4" width="14.8515625" style="1" customWidth="1"/>
    <col min="5" max="5" width="10.421875" style="1" customWidth="1"/>
    <col min="6" max="6" width="10.7109375" style="1" customWidth="1"/>
    <col min="7" max="7" width="14.7109375" style="1" customWidth="1"/>
    <col min="8" max="8" width="10.00390625" style="1" customWidth="1"/>
    <col min="9" max="9" width="15.00390625" style="1" customWidth="1"/>
    <col min="10" max="10" width="10.28125" style="1" customWidth="1"/>
    <col min="11" max="16384" width="9.140625" style="1" customWidth="1"/>
  </cols>
  <sheetData>
    <row r="1" spans="1:10" ht="23.25">
      <c r="A1" s="75" t="s">
        <v>12</v>
      </c>
      <c r="B1" s="76"/>
      <c r="C1" s="76"/>
      <c r="D1" s="76"/>
      <c r="E1" s="76"/>
      <c r="F1" s="76"/>
      <c r="G1" s="76"/>
      <c r="H1" s="76"/>
      <c r="I1" s="76"/>
      <c r="J1" s="76"/>
    </row>
    <row r="2" spans="1:10" ht="23.25">
      <c r="A2" s="75" t="s">
        <v>84</v>
      </c>
      <c r="B2" s="76"/>
      <c r="C2" s="76"/>
      <c r="D2" s="76"/>
      <c r="E2" s="76"/>
      <c r="F2" s="76"/>
      <c r="G2" s="76"/>
      <c r="H2" s="76"/>
      <c r="I2" s="76"/>
      <c r="J2" s="76"/>
    </row>
    <row r="3" spans="1:10" ht="5.25" customHeight="1" thickBot="1">
      <c r="A3" s="19"/>
      <c r="B3" s="28"/>
      <c r="C3" s="2"/>
      <c r="D3" s="19"/>
      <c r="E3" s="19"/>
      <c r="F3" s="2"/>
      <c r="G3" s="2"/>
      <c r="H3" s="2"/>
      <c r="I3" s="19"/>
      <c r="J3" s="19"/>
    </row>
    <row r="4" spans="1:10" ht="22.5" customHeight="1" thickBot="1">
      <c r="A4" s="8"/>
      <c r="B4" s="29"/>
      <c r="C4" s="72" t="s">
        <v>85</v>
      </c>
      <c r="D4" s="73"/>
      <c r="E4" s="74"/>
      <c r="F4" s="72" t="s">
        <v>81</v>
      </c>
      <c r="G4" s="73"/>
      <c r="H4" s="74"/>
      <c r="I4" s="77" t="s">
        <v>8</v>
      </c>
      <c r="J4" s="74"/>
    </row>
    <row r="5" spans="1:10" ht="23.25">
      <c r="A5" s="9" t="s">
        <v>0</v>
      </c>
      <c r="B5" s="30" t="s">
        <v>1</v>
      </c>
      <c r="C5" s="10" t="s">
        <v>2</v>
      </c>
      <c r="D5" s="11" t="s">
        <v>5</v>
      </c>
      <c r="E5" s="12" t="s">
        <v>3</v>
      </c>
      <c r="F5" s="10" t="s">
        <v>2</v>
      </c>
      <c r="G5" s="11" t="s">
        <v>5</v>
      </c>
      <c r="H5" s="56" t="s">
        <v>3</v>
      </c>
      <c r="I5" s="10" t="s">
        <v>5</v>
      </c>
      <c r="J5" s="56" t="s">
        <v>7</v>
      </c>
    </row>
    <row r="6" spans="1:10" ht="24" thickBot="1">
      <c r="A6" s="13"/>
      <c r="B6" s="31"/>
      <c r="C6" s="14" t="s">
        <v>4</v>
      </c>
      <c r="D6" s="15" t="s">
        <v>6</v>
      </c>
      <c r="E6" s="16"/>
      <c r="F6" s="14" t="s">
        <v>4</v>
      </c>
      <c r="G6" s="15" t="s">
        <v>6</v>
      </c>
      <c r="H6" s="57"/>
      <c r="I6" s="14" t="s">
        <v>6</v>
      </c>
      <c r="J6" s="57"/>
    </row>
    <row r="7" spans="1:10" ht="23.25">
      <c r="A7" s="3">
        <v>1</v>
      </c>
      <c r="B7" s="32" t="s">
        <v>22</v>
      </c>
      <c r="C7" s="39">
        <v>205</v>
      </c>
      <c r="D7" s="20">
        <f>27936494099.38/1000000</f>
        <v>27936.49409938</v>
      </c>
      <c r="E7" s="41">
        <f aca="true" t="shared" si="0" ref="E7:E30">(D7/$D$31)*100</f>
        <v>18.862541472532993</v>
      </c>
      <c r="F7" s="39">
        <v>204</v>
      </c>
      <c r="G7" s="20">
        <v>27483.69070955</v>
      </c>
      <c r="H7" s="44">
        <f aca="true" t="shared" si="1" ref="H7:H30">(G7/$G$31)*100</f>
        <v>19.100256659898662</v>
      </c>
      <c r="I7" s="61">
        <f aca="true" t="shared" si="2" ref="I7:I30">(D7-G7)</f>
        <v>452.80338983000183</v>
      </c>
      <c r="J7" s="62">
        <f aca="true" t="shared" si="3" ref="J7:J23">(D7-G7)/G7*100</f>
        <v>1.6475348766483617</v>
      </c>
    </row>
    <row r="8" spans="1:10" ht="23.25">
      <c r="A8" s="3">
        <v>2</v>
      </c>
      <c r="B8" s="32" t="s">
        <v>19</v>
      </c>
      <c r="C8" s="4">
        <v>137</v>
      </c>
      <c r="D8" s="20">
        <f>24648381754.8/1000000</f>
        <v>24648.3817548</v>
      </c>
      <c r="E8" s="41">
        <f t="shared" si="0"/>
        <v>16.642429126103508</v>
      </c>
      <c r="F8" s="4">
        <v>132</v>
      </c>
      <c r="G8" s="20">
        <v>23981.67930839</v>
      </c>
      <c r="H8" s="41">
        <f t="shared" si="1"/>
        <v>16.66647448359129</v>
      </c>
      <c r="I8" s="61">
        <f t="shared" si="2"/>
        <v>666.7024464099995</v>
      </c>
      <c r="J8" s="63">
        <f t="shared" si="3"/>
        <v>2.7800490442583534</v>
      </c>
    </row>
    <row r="9" spans="1:10" ht="23.25">
      <c r="A9" s="3">
        <v>3</v>
      </c>
      <c r="B9" s="32" t="s">
        <v>17</v>
      </c>
      <c r="C9" s="39">
        <v>51</v>
      </c>
      <c r="D9" s="20">
        <f>(3416171214.89+13953480803.91)/1000000</f>
        <v>17369.6520188</v>
      </c>
      <c r="E9" s="41">
        <f t="shared" si="0"/>
        <v>11.727877535476173</v>
      </c>
      <c r="F9" s="39">
        <v>47</v>
      </c>
      <c r="G9" s="20">
        <v>16777.90655703</v>
      </c>
      <c r="H9" s="41">
        <f t="shared" si="1"/>
        <v>11.660090518473046</v>
      </c>
      <c r="I9" s="61">
        <f t="shared" si="2"/>
        <v>591.7454617699987</v>
      </c>
      <c r="J9" s="63">
        <f t="shared" si="3"/>
        <v>3.5269326346441905</v>
      </c>
    </row>
    <row r="10" spans="1:10" ht="23.25">
      <c r="A10" s="3">
        <v>4</v>
      </c>
      <c r="B10" s="32" t="s">
        <v>21</v>
      </c>
      <c r="C10" s="4">
        <v>11</v>
      </c>
      <c r="D10" s="20">
        <f>16965221.42/1000</f>
        <v>16965.22142</v>
      </c>
      <c r="E10" s="41">
        <f t="shared" si="0"/>
        <v>11.454808591481672</v>
      </c>
      <c r="F10" s="4">
        <v>11</v>
      </c>
      <c r="G10" s="20">
        <v>16133.68786</v>
      </c>
      <c r="H10" s="41">
        <f t="shared" si="1"/>
        <v>11.212379816572923</v>
      </c>
      <c r="I10" s="61">
        <f t="shared" si="2"/>
        <v>831.5335600000017</v>
      </c>
      <c r="J10" s="63">
        <f t="shared" si="3"/>
        <v>5.154020377830724</v>
      </c>
    </row>
    <row r="11" spans="1:10" ht="23.25">
      <c r="A11" s="3">
        <v>5</v>
      </c>
      <c r="B11" s="32" t="s">
        <v>26</v>
      </c>
      <c r="C11" s="4">
        <v>18</v>
      </c>
      <c r="D11" s="20">
        <f>16907570891.37/1000000</f>
        <v>16907.57089137</v>
      </c>
      <c r="E11" s="41">
        <f t="shared" si="0"/>
        <v>11.415883324648673</v>
      </c>
      <c r="F11" s="4">
        <v>19</v>
      </c>
      <c r="G11" s="20">
        <v>16661.73381511</v>
      </c>
      <c r="H11" s="41">
        <f t="shared" si="1"/>
        <v>11.579354302547538</v>
      </c>
      <c r="I11" s="61">
        <f t="shared" si="2"/>
        <v>245.83707625999887</v>
      </c>
      <c r="J11" s="63">
        <f t="shared" si="3"/>
        <v>1.4754591508181278</v>
      </c>
    </row>
    <row r="12" spans="1:10" ht="23.25">
      <c r="A12" s="3">
        <v>6</v>
      </c>
      <c r="B12" s="32" t="s">
        <v>14</v>
      </c>
      <c r="C12" s="39">
        <v>24</v>
      </c>
      <c r="D12" s="20">
        <f>(516019182.7+8366139751.15)/1000000</f>
        <v>8882.15893385</v>
      </c>
      <c r="E12" s="41">
        <f t="shared" si="0"/>
        <v>5.9971766915123865</v>
      </c>
      <c r="F12" s="39">
        <v>26</v>
      </c>
      <c r="G12" s="20">
        <v>8738.08460447</v>
      </c>
      <c r="H12" s="41">
        <f t="shared" si="1"/>
        <v>6.072679991384562</v>
      </c>
      <c r="I12" s="61">
        <f t="shared" si="2"/>
        <v>144.07432938000056</v>
      </c>
      <c r="J12" s="63">
        <f t="shared" si="3"/>
        <v>1.648809045706639</v>
      </c>
    </row>
    <row r="13" spans="1:10" ht="23.25">
      <c r="A13" s="3">
        <v>7</v>
      </c>
      <c r="B13" s="33" t="s">
        <v>30</v>
      </c>
      <c r="C13" s="5">
        <v>267</v>
      </c>
      <c r="D13" s="20">
        <f>6914544758.05/1000000</f>
        <v>6914.54475805</v>
      </c>
      <c r="E13" s="41">
        <f t="shared" si="0"/>
        <v>4.668656231466722</v>
      </c>
      <c r="F13" s="5">
        <v>269</v>
      </c>
      <c r="G13" s="20">
        <v>6905.76350971</v>
      </c>
      <c r="H13" s="41">
        <f t="shared" si="1"/>
        <v>4.799277391889383</v>
      </c>
      <c r="I13" s="61">
        <f t="shared" si="2"/>
        <v>8.781248340000275</v>
      </c>
      <c r="J13" s="63">
        <f t="shared" si="3"/>
        <v>0.12715825451672663</v>
      </c>
    </row>
    <row r="14" spans="1:10" ht="23.25">
      <c r="A14" s="3">
        <v>8</v>
      </c>
      <c r="B14" s="33" t="s">
        <v>80</v>
      </c>
      <c r="C14" s="5">
        <v>112</v>
      </c>
      <c r="D14" s="20">
        <f>4044646869.35/1000000</f>
        <v>4044.64686935</v>
      </c>
      <c r="E14" s="41">
        <f t="shared" si="0"/>
        <v>2.730919600844197</v>
      </c>
      <c r="F14" s="5">
        <v>110</v>
      </c>
      <c r="G14" s="20">
        <v>3736.1012568200003</v>
      </c>
      <c r="H14" s="41">
        <f t="shared" si="1"/>
        <v>2.5964668889188056</v>
      </c>
      <c r="I14" s="61">
        <f t="shared" si="2"/>
        <v>308.54561252999974</v>
      </c>
      <c r="J14" s="63">
        <f t="shared" si="3"/>
        <v>8.258491708884245</v>
      </c>
    </row>
    <row r="15" spans="1:10" ht="23.25">
      <c r="A15" s="3">
        <v>9</v>
      </c>
      <c r="B15" s="32" t="s">
        <v>57</v>
      </c>
      <c r="C15" s="39">
        <v>5</v>
      </c>
      <c r="D15" s="40">
        <f>3577149707.18/1000000</f>
        <v>3577.14970718</v>
      </c>
      <c r="E15" s="41">
        <f t="shared" si="0"/>
        <v>2.415268518129462</v>
      </c>
      <c r="F15" s="39">
        <v>3</v>
      </c>
      <c r="G15" s="40">
        <v>3427.11497175</v>
      </c>
      <c r="H15" s="41">
        <f t="shared" si="1"/>
        <v>2.3817316333232066</v>
      </c>
      <c r="I15" s="61">
        <f t="shared" si="2"/>
        <v>150.03473542999973</v>
      </c>
      <c r="J15" s="63">
        <f t="shared" si="3"/>
        <v>4.377872836678921</v>
      </c>
    </row>
    <row r="16" spans="1:10" ht="23.25">
      <c r="A16" s="3">
        <v>10</v>
      </c>
      <c r="B16" s="32" t="s">
        <v>24</v>
      </c>
      <c r="C16" s="39">
        <v>52</v>
      </c>
      <c r="D16" s="20">
        <f>3128655229.27/1000000</f>
        <v>3128.65522927</v>
      </c>
      <c r="E16" s="41">
        <f t="shared" si="0"/>
        <v>2.112447925835916</v>
      </c>
      <c r="F16" s="39">
        <v>56</v>
      </c>
      <c r="G16" s="20">
        <v>3255.62535812</v>
      </c>
      <c r="H16" s="41">
        <f t="shared" si="1"/>
        <v>2.262552019876978</v>
      </c>
      <c r="I16" s="61">
        <f t="shared" si="2"/>
        <v>-126.97012885000004</v>
      </c>
      <c r="J16" s="63">
        <f t="shared" si="3"/>
        <v>-3.9000227263041247</v>
      </c>
    </row>
    <row r="17" spans="1:10" ht="23.25">
      <c r="A17" s="3">
        <v>11</v>
      </c>
      <c r="B17" s="32" t="s">
        <v>31</v>
      </c>
      <c r="C17" s="39">
        <v>46</v>
      </c>
      <c r="D17" s="20">
        <f>3049427370.92/1000000</f>
        <v>3049.42737092</v>
      </c>
      <c r="E17" s="41">
        <f t="shared" si="0"/>
        <v>2.058953784495539</v>
      </c>
      <c r="F17" s="5">
        <v>48</v>
      </c>
      <c r="G17" s="20">
        <v>3011.90150605</v>
      </c>
      <c r="H17" s="41">
        <f t="shared" si="1"/>
        <v>2.0931719981807437</v>
      </c>
      <c r="I17" s="61">
        <f t="shared" si="2"/>
        <v>37.52586487000008</v>
      </c>
      <c r="J17" s="63">
        <f t="shared" si="3"/>
        <v>1.245919389947578</v>
      </c>
    </row>
    <row r="18" spans="1:10" ht="23.25">
      <c r="A18" s="3">
        <v>12</v>
      </c>
      <c r="B18" s="32" t="s">
        <v>46</v>
      </c>
      <c r="C18" s="54">
        <v>52</v>
      </c>
      <c r="D18" s="20">
        <f>2259675232.58/1000000</f>
        <v>2259.67523258</v>
      </c>
      <c r="E18" s="41">
        <f t="shared" si="0"/>
        <v>1.525718210644829</v>
      </c>
      <c r="F18" s="39">
        <v>54</v>
      </c>
      <c r="G18" s="20">
        <v>2233.20496387</v>
      </c>
      <c r="H18" s="41">
        <f t="shared" si="1"/>
        <v>1.5520036386254008</v>
      </c>
      <c r="I18" s="61">
        <f t="shared" si="2"/>
        <v>26.4702687099998</v>
      </c>
      <c r="J18" s="63">
        <f t="shared" si="3"/>
        <v>1.1853040423181103</v>
      </c>
    </row>
    <row r="19" spans="1:10" ht="23.25">
      <c r="A19" s="3">
        <v>13</v>
      </c>
      <c r="B19" s="32" t="s">
        <v>36</v>
      </c>
      <c r="C19" s="4">
        <v>36</v>
      </c>
      <c r="D19" s="20">
        <f>1992182315.99/1000000</f>
        <v>1992.18231599</v>
      </c>
      <c r="E19" s="41">
        <f t="shared" si="0"/>
        <v>1.3451087105823407</v>
      </c>
      <c r="F19" s="4">
        <v>35</v>
      </c>
      <c r="G19" s="20">
        <v>1954.56159882</v>
      </c>
      <c r="H19" s="41">
        <f t="shared" si="1"/>
        <v>1.3583557095580174</v>
      </c>
      <c r="I19" s="61">
        <f t="shared" si="2"/>
        <v>37.620717170000034</v>
      </c>
      <c r="J19" s="63">
        <f t="shared" si="3"/>
        <v>1.9247649801731632</v>
      </c>
    </row>
    <row r="20" spans="1:10" ht="23.25">
      <c r="A20" s="3">
        <v>14</v>
      </c>
      <c r="B20" s="32" t="s">
        <v>51</v>
      </c>
      <c r="C20" s="4">
        <v>52</v>
      </c>
      <c r="D20" s="20">
        <f>1905527251.73/1000000</f>
        <v>1905.52725173</v>
      </c>
      <c r="E20" s="41">
        <f t="shared" si="0"/>
        <v>1.286599767491821</v>
      </c>
      <c r="F20" s="4">
        <v>43</v>
      </c>
      <c r="G20" s="20">
        <v>1645.75976998</v>
      </c>
      <c r="H20" s="41">
        <f t="shared" si="1"/>
        <v>1.1437486449456726</v>
      </c>
      <c r="I20" s="61">
        <f t="shared" si="2"/>
        <v>259.7674817499999</v>
      </c>
      <c r="J20" s="63">
        <f t="shared" si="3"/>
        <v>15.784046158398723</v>
      </c>
    </row>
    <row r="21" spans="1:10" ht="23.25">
      <c r="A21" s="46">
        <v>15</v>
      </c>
      <c r="B21" s="32" t="s">
        <v>23</v>
      </c>
      <c r="C21" s="4">
        <v>2</v>
      </c>
      <c r="D21" s="20">
        <f>1844199398.52/1000000</f>
        <v>1844.19939852</v>
      </c>
      <c r="E21" s="41">
        <f t="shared" si="0"/>
        <v>1.2451915947096568</v>
      </c>
      <c r="F21" s="53">
        <v>1</v>
      </c>
      <c r="G21" s="58">
        <v>1304.58882945</v>
      </c>
      <c r="H21" s="41">
        <f t="shared" si="1"/>
        <v>0.9066461175635807</v>
      </c>
      <c r="I21" s="61">
        <f t="shared" si="2"/>
        <v>539.6105690699999</v>
      </c>
      <c r="J21" s="63">
        <f t="shared" si="3"/>
        <v>41.36250111059847</v>
      </c>
    </row>
    <row r="22" spans="1:10" ht="23.25">
      <c r="A22" s="3">
        <v>16</v>
      </c>
      <c r="B22" s="32" t="s">
        <v>33</v>
      </c>
      <c r="C22" s="4">
        <v>4</v>
      </c>
      <c r="D22" s="20">
        <f>1768678024.55/1000000</f>
        <v>1768.67802455</v>
      </c>
      <c r="E22" s="41">
        <f t="shared" si="0"/>
        <v>1.1942000478282098</v>
      </c>
      <c r="F22" s="4">
        <v>4</v>
      </c>
      <c r="G22" s="20">
        <v>1759.54056427</v>
      </c>
      <c r="H22" s="41">
        <f t="shared" si="1"/>
        <v>1.2228225363263152</v>
      </c>
      <c r="I22" s="61">
        <f t="shared" si="2"/>
        <v>9.137460279999914</v>
      </c>
      <c r="J22" s="63">
        <f t="shared" si="3"/>
        <v>0.5193094416547807</v>
      </c>
    </row>
    <row r="23" spans="1:10" ht="23.25">
      <c r="A23" s="3">
        <v>17</v>
      </c>
      <c r="B23" s="33" t="s">
        <v>52</v>
      </c>
      <c r="C23" s="39">
        <v>12</v>
      </c>
      <c r="D23" s="40">
        <f>1700140442.29/1000000</f>
        <v>1700.14044229</v>
      </c>
      <c r="E23" s="41">
        <f t="shared" si="0"/>
        <v>1.147923912275643</v>
      </c>
      <c r="F23" s="39">
        <v>12</v>
      </c>
      <c r="G23" s="40">
        <v>1668.67140297</v>
      </c>
      <c r="H23" s="41">
        <f t="shared" si="1"/>
        <v>1.1596714726048536</v>
      </c>
      <c r="I23" s="61">
        <f t="shared" si="2"/>
        <v>31.469039320000093</v>
      </c>
      <c r="J23" s="63">
        <f t="shared" si="3"/>
        <v>1.8858739512158977</v>
      </c>
    </row>
    <row r="24" spans="1:10" ht="23.25">
      <c r="A24" s="3">
        <v>18</v>
      </c>
      <c r="B24" s="32" t="s">
        <v>32</v>
      </c>
      <c r="C24" s="4">
        <v>33</v>
      </c>
      <c r="D24" s="20">
        <f>943747776.36/1000000</f>
        <v>943.74777636</v>
      </c>
      <c r="E24" s="41">
        <f t="shared" si="0"/>
        <v>0.6372124400390083</v>
      </c>
      <c r="F24" s="4">
        <v>34</v>
      </c>
      <c r="G24" s="20">
        <v>950.0193270499999</v>
      </c>
      <c r="H24" s="41">
        <f t="shared" si="1"/>
        <v>0.6602320325273487</v>
      </c>
      <c r="I24" s="61">
        <f t="shared" si="2"/>
        <v>-6.271550689999913</v>
      </c>
      <c r="J24" s="63">
        <f aca="true" t="shared" si="4" ref="J24:J29">(D24-G24)/G24*100</f>
        <v>-0.6601498002650464</v>
      </c>
    </row>
    <row r="25" spans="1:10" ht="23.25">
      <c r="A25" s="21">
        <v>19</v>
      </c>
      <c r="B25" s="32" t="s">
        <v>34</v>
      </c>
      <c r="C25" s="39">
        <v>3</v>
      </c>
      <c r="D25" s="40">
        <f>914398977.11/1000000</f>
        <v>914.39897711</v>
      </c>
      <c r="E25" s="41">
        <f t="shared" si="0"/>
        <v>0.6173963191953248</v>
      </c>
      <c r="F25" s="39">
        <v>3</v>
      </c>
      <c r="G25" s="40">
        <v>908.03690212</v>
      </c>
      <c r="H25" s="41">
        <f t="shared" si="1"/>
        <v>0.6310556347923352</v>
      </c>
      <c r="I25" s="61">
        <f t="shared" si="2"/>
        <v>6.362074989999996</v>
      </c>
      <c r="J25" s="63">
        <f t="shared" si="4"/>
        <v>0.700640576957436</v>
      </c>
    </row>
    <row r="26" spans="1:10" ht="23.25">
      <c r="A26" s="21">
        <v>20</v>
      </c>
      <c r="B26" s="32" t="s">
        <v>16</v>
      </c>
      <c r="C26" s="5">
        <v>75</v>
      </c>
      <c r="D26" s="20">
        <f>571610133.17/1000000</f>
        <v>571.6101331699999</v>
      </c>
      <c r="E26" s="41">
        <f t="shared" si="0"/>
        <v>0.385947492361918</v>
      </c>
      <c r="F26" s="5">
        <v>77</v>
      </c>
      <c r="G26" s="20">
        <v>597.25955102</v>
      </c>
      <c r="H26" s="41">
        <f t="shared" si="1"/>
        <v>0.41507564750369813</v>
      </c>
      <c r="I26" s="61">
        <f t="shared" si="2"/>
        <v>-25.649417850000077</v>
      </c>
      <c r="J26" s="63">
        <f t="shared" si="4"/>
        <v>-4.294517819965541</v>
      </c>
    </row>
    <row r="27" spans="1:10" ht="23.25">
      <c r="A27" s="21">
        <v>21</v>
      </c>
      <c r="B27" s="32" t="s">
        <v>25</v>
      </c>
      <c r="C27" s="5">
        <v>5</v>
      </c>
      <c r="D27" s="20">
        <f>558700464.56/1000000</f>
        <v>558.7004645599999</v>
      </c>
      <c r="E27" s="41">
        <f t="shared" si="0"/>
        <v>0.3772309669923947</v>
      </c>
      <c r="F27" s="5">
        <v>7</v>
      </c>
      <c r="G27" s="20">
        <v>536.18789611</v>
      </c>
      <c r="H27" s="45">
        <f t="shared" si="1"/>
        <v>0.37263286586446104</v>
      </c>
      <c r="I27" s="61">
        <f t="shared" si="2"/>
        <v>22.51256844999989</v>
      </c>
      <c r="J27" s="63">
        <f t="shared" si="4"/>
        <v>4.198634212619636</v>
      </c>
    </row>
    <row r="28" spans="1:10" ht="23.25">
      <c r="A28" s="21">
        <v>22</v>
      </c>
      <c r="B28" s="32" t="s">
        <v>35</v>
      </c>
      <c r="C28" s="54">
        <v>6</v>
      </c>
      <c r="D28" s="20">
        <f>215465971.22/1000000</f>
        <v>215.46597122</v>
      </c>
      <c r="E28" s="41">
        <f t="shared" si="0"/>
        <v>0.14548124054503492</v>
      </c>
      <c r="F28" s="54">
        <v>6</v>
      </c>
      <c r="G28" s="20">
        <v>213.26726742</v>
      </c>
      <c r="H28" s="45">
        <f t="shared" si="1"/>
        <v>0.14821370200697984</v>
      </c>
      <c r="I28" s="61">
        <f t="shared" si="2"/>
        <v>2.198703800000004</v>
      </c>
      <c r="J28" s="63">
        <f t="shared" si="4"/>
        <v>1.0309616785542457</v>
      </c>
    </row>
    <row r="29" spans="1:10" ht="23.25">
      <c r="A29" s="21">
        <v>23</v>
      </c>
      <c r="B29" s="32" t="s">
        <v>72</v>
      </c>
      <c r="C29" s="54">
        <v>3</v>
      </c>
      <c r="D29" s="42">
        <f>7444523.99/1000000</f>
        <v>7.44452399</v>
      </c>
      <c r="E29" s="41">
        <f t="shared" si="0"/>
        <v>0.005026494806581983</v>
      </c>
      <c r="F29" s="54">
        <v>3</v>
      </c>
      <c r="G29" s="20">
        <v>7.34753363</v>
      </c>
      <c r="H29" s="45">
        <f t="shared" si="1"/>
        <v>0.005106293024228795</v>
      </c>
      <c r="I29" s="61">
        <f t="shared" si="2"/>
        <v>0.09699036000000039</v>
      </c>
      <c r="J29" s="63">
        <f t="shared" si="4"/>
        <v>1.3200396879299536</v>
      </c>
    </row>
    <row r="30" spans="1:10" ht="24" thickBot="1">
      <c r="A30" s="21">
        <v>24</v>
      </c>
      <c r="B30" s="32" t="s">
        <v>58</v>
      </c>
      <c r="C30" s="54">
        <v>0</v>
      </c>
      <c r="D30" s="42">
        <v>0</v>
      </c>
      <c r="E30" s="41">
        <f t="shared" si="0"/>
        <v>0</v>
      </c>
      <c r="F30" s="39">
        <v>0</v>
      </c>
      <c r="G30" s="20">
        <v>0</v>
      </c>
      <c r="H30" s="45">
        <f t="shared" si="1"/>
        <v>0</v>
      </c>
      <c r="I30" s="61">
        <f t="shared" si="2"/>
        <v>0</v>
      </c>
      <c r="J30" s="63">
        <v>0</v>
      </c>
    </row>
    <row r="31" spans="1:11" ht="24" thickBot="1">
      <c r="A31" s="70" t="s">
        <v>11</v>
      </c>
      <c r="B31" s="71"/>
      <c r="C31" s="6">
        <f aca="true" t="shared" si="5" ref="C31:I31">SUM(C7:C30)</f>
        <v>1211</v>
      </c>
      <c r="D31" s="37">
        <f t="shared" si="5"/>
        <v>148105.67356504</v>
      </c>
      <c r="E31" s="38">
        <f t="shared" si="5"/>
        <v>100.00000000000003</v>
      </c>
      <c r="F31" s="6">
        <f t="shared" si="5"/>
        <v>1204</v>
      </c>
      <c r="G31" s="59">
        <f t="shared" si="5"/>
        <v>143891.73506370996</v>
      </c>
      <c r="H31" s="60">
        <f t="shared" si="5"/>
        <v>100.00000000000007</v>
      </c>
      <c r="I31" s="43">
        <f t="shared" si="5"/>
        <v>4213.938501330001</v>
      </c>
      <c r="J31" s="66">
        <f>(D31-G31)/G31*100</f>
        <v>2.9285479805106647</v>
      </c>
      <c r="K31" s="7"/>
    </row>
    <row r="32" spans="1:11" ht="5.25" customHeight="1">
      <c r="A32" s="22"/>
      <c r="B32" s="34"/>
      <c r="C32" s="23"/>
      <c r="D32" s="24"/>
      <c r="E32" s="25"/>
      <c r="F32" s="23"/>
      <c r="G32" s="24"/>
      <c r="H32" s="25"/>
      <c r="I32" s="26"/>
      <c r="J32" s="27"/>
      <c r="K32" s="7"/>
    </row>
    <row r="33" spans="2:10" ht="21">
      <c r="B33" s="35" t="s">
        <v>86</v>
      </c>
      <c r="H33" s="17" t="s">
        <v>10</v>
      </c>
      <c r="J33" s="18"/>
    </row>
    <row r="34" spans="2:10" ht="21">
      <c r="B34" s="68" t="s">
        <v>54</v>
      </c>
      <c r="H34" s="17" t="s">
        <v>9</v>
      </c>
      <c r="J34" s="18"/>
    </row>
    <row r="35" spans="2:10" ht="21">
      <c r="B35" s="67"/>
      <c r="H35" s="17"/>
      <c r="J35" s="18"/>
    </row>
    <row r="36" spans="2:10" ht="21">
      <c r="B36" s="67"/>
      <c r="H36" s="17"/>
      <c r="J36" s="18"/>
    </row>
    <row r="38" ht="21">
      <c r="F38" s="64"/>
    </row>
  </sheetData>
  <mergeCells count="6">
    <mergeCell ref="A31:B31"/>
    <mergeCell ref="F4:H4"/>
    <mergeCell ref="A1:J1"/>
    <mergeCell ref="A2:J2"/>
    <mergeCell ref="C4:E4"/>
    <mergeCell ref="I4:J4"/>
  </mergeCells>
  <printOptions horizontalCentered="1" verticalCentered="1"/>
  <pageMargins left="0.1968503937007874" right="0.1968503937007874" top="0.17" bottom="0.17" header="0.25" footer="0.15748031496062992"/>
  <pageSetup fitToHeight="1" fitToWidth="1" horizontalDpi="1200" verticalDpi="1200" orientation="landscape" paperSize="9" scale="81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tabSelected="1" zoomScale="75" zoomScaleNormal="75" workbookViewId="0" topLeftCell="A1">
      <selection activeCell="D29" sqref="D29"/>
    </sheetView>
  </sheetViews>
  <sheetFormatPr defaultColWidth="9.140625" defaultRowHeight="21.75"/>
  <cols>
    <col min="1" max="1" width="6.57421875" style="1" customWidth="1"/>
    <col min="2" max="2" width="55.7109375" style="35" customWidth="1"/>
    <col min="3" max="3" width="11.00390625" style="1" customWidth="1"/>
    <col min="4" max="4" width="14.8515625" style="1" customWidth="1"/>
    <col min="5" max="5" width="10.421875" style="1" customWidth="1"/>
    <col min="6" max="6" width="10.7109375" style="1" customWidth="1"/>
    <col min="7" max="7" width="14.7109375" style="1" customWidth="1"/>
    <col min="8" max="8" width="10.00390625" style="1" customWidth="1"/>
    <col min="9" max="9" width="15.00390625" style="1" customWidth="1"/>
    <col min="10" max="10" width="10.28125" style="1" customWidth="1"/>
    <col min="11" max="16384" width="9.140625" style="1" customWidth="1"/>
  </cols>
  <sheetData>
    <row r="1" spans="1:10" ht="23.25">
      <c r="A1" s="75" t="s">
        <v>12</v>
      </c>
      <c r="B1" s="76"/>
      <c r="C1" s="76"/>
      <c r="D1" s="76"/>
      <c r="E1" s="76"/>
      <c r="F1" s="76"/>
      <c r="G1" s="76"/>
      <c r="H1" s="76"/>
      <c r="I1" s="76"/>
      <c r="J1" s="76"/>
    </row>
    <row r="2" spans="1:10" ht="23.25">
      <c r="A2" s="75" t="s">
        <v>87</v>
      </c>
      <c r="B2" s="76"/>
      <c r="C2" s="76"/>
      <c r="D2" s="76"/>
      <c r="E2" s="76"/>
      <c r="F2" s="76"/>
      <c r="G2" s="76"/>
      <c r="H2" s="76"/>
      <c r="I2" s="76"/>
      <c r="J2" s="76"/>
    </row>
    <row r="3" spans="1:10" ht="5.25" customHeight="1" thickBot="1">
      <c r="A3" s="19"/>
      <c r="B3" s="28"/>
      <c r="C3" s="2"/>
      <c r="D3" s="19"/>
      <c r="E3" s="19"/>
      <c r="F3" s="2"/>
      <c r="G3" s="2"/>
      <c r="H3" s="2"/>
      <c r="I3" s="19"/>
      <c r="J3" s="19"/>
    </row>
    <row r="4" spans="1:10" ht="22.5" customHeight="1" thickBot="1">
      <c r="A4" s="8"/>
      <c r="B4" s="29"/>
      <c r="C4" s="72" t="s">
        <v>88</v>
      </c>
      <c r="D4" s="73"/>
      <c r="E4" s="74"/>
      <c r="F4" s="72" t="s">
        <v>85</v>
      </c>
      <c r="G4" s="73"/>
      <c r="H4" s="74"/>
      <c r="I4" s="77" t="s">
        <v>8</v>
      </c>
      <c r="J4" s="74"/>
    </row>
    <row r="5" spans="1:10" ht="23.25">
      <c r="A5" s="9" t="s">
        <v>0</v>
      </c>
      <c r="B5" s="30" t="s">
        <v>1</v>
      </c>
      <c r="C5" s="10" t="s">
        <v>2</v>
      </c>
      <c r="D5" s="11" t="s">
        <v>5</v>
      </c>
      <c r="E5" s="12" t="s">
        <v>3</v>
      </c>
      <c r="F5" s="10" t="s">
        <v>2</v>
      </c>
      <c r="G5" s="11" t="s">
        <v>5</v>
      </c>
      <c r="H5" s="56" t="s">
        <v>3</v>
      </c>
      <c r="I5" s="10" t="s">
        <v>5</v>
      </c>
      <c r="J5" s="56" t="s">
        <v>7</v>
      </c>
    </row>
    <row r="6" spans="1:10" ht="24" thickBot="1">
      <c r="A6" s="13"/>
      <c r="B6" s="31"/>
      <c r="C6" s="14" t="s">
        <v>4</v>
      </c>
      <c r="D6" s="15" t="s">
        <v>6</v>
      </c>
      <c r="E6" s="16"/>
      <c r="F6" s="14" t="s">
        <v>4</v>
      </c>
      <c r="G6" s="15" t="s">
        <v>6</v>
      </c>
      <c r="H6" s="57"/>
      <c r="I6" s="14" t="s">
        <v>6</v>
      </c>
      <c r="J6" s="57"/>
    </row>
    <row r="7" spans="1:10" ht="23.25">
      <c r="A7" s="3">
        <v>1</v>
      </c>
      <c r="B7" s="32" t="s">
        <v>22</v>
      </c>
      <c r="C7" s="39">
        <v>209</v>
      </c>
      <c r="D7" s="20">
        <v>27369.141894419998</v>
      </c>
      <c r="E7" s="41">
        <f aca="true" t="shared" si="0" ref="E7:E30">(D7/$D$31)*100</f>
        <v>18.577041169277063</v>
      </c>
      <c r="F7" s="39">
        <v>205</v>
      </c>
      <c r="G7" s="20">
        <v>27936.49409938</v>
      </c>
      <c r="H7" s="44">
        <f aca="true" t="shared" si="1" ref="H7:H30">(G7/$G$31)*100</f>
        <v>18.862541472532993</v>
      </c>
      <c r="I7" s="61">
        <f aca="true" t="shared" si="2" ref="I7:I30">(D7-G7)</f>
        <v>-567.3522049600033</v>
      </c>
      <c r="J7" s="62">
        <f aca="true" t="shared" si="3" ref="J7:J29">(D7-G7)/G7*100</f>
        <v>-2.0308640122906283</v>
      </c>
    </row>
    <row r="8" spans="1:10" ht="23.25">
      <c r="A8" s="3">
        <v>2</v>
      </c>
      <c r="B8" s="32" t="s">
        <v>19</v>
      </c>
      <c r="C8" s="4">
        <v>138</v>
      </c>
      <c r="D8" s="20">
        <v>24392.49373586</v>
      </c>
      <c r="E8" s="41">
        <f t="shared" si="0"/>
        <v>16.556615552670653</v>
      </c>
      <c r="F8" s="4">
        <v>137</v>
      </c>
      <c r="G8" s="20">
        <v>24648.3817548</v>
      </c>
      <c r="H8" s="41">
        <f t="shared" si="1"/>
        <v>16.642429126103508</v>
      </c>
      <c r="I8" s="61">
        <f t="shared" si="2"/>
        <v>-255.88801894000062</v>
      </c>
      <c r="J8" s="63">
        <f t="shared" si="3"/>
        <v>-1.038153423155941</v>
      </c>
    </row>
    <row r="9" spans="1:10" ht="23.25">
      <c r="A9" s="3">
        <v>3</v>
      </c>
      <c r="B9" s="32" t="s">
        <v>21</v>
      </c>
      <c r="C9" s="4">
        <v>13</v>
      </c>
      <c r="D9" s="20">
        <v>17541.503129999997</v>
      </c>
      <c r="E9" s="41">
        <f t="shared" si="0"/>
        <v>11.906446576735766</v>
      </c>
      <c r="F9" s="4">
        <v>11</v>
      </c>
      <c r="G9" s="20">
        <v>16965.22142</v>
      </c>
      <c r="H9" s="41">
        <f t="shared" si="1"/>
        <v>11.454808591481672</v>
      </c>
      <c r="I9" s="61">
        <f t="shared" si="2"/>
        <v>576.2817099999957</v>
      </c>
      <c r="J9" s="63">
        <f t="shared" si="3"/>
        <v>3.3968416664496184</v>
      </c>
    </row>
    <row r="10" spans="1:10" ht="23.25">
      <c r="A10" s="3">
        <v>4</v>
      </c>
      <c r="B10" s="32" t="s">
        <v>26</v>
      </c>
      <c r="C10" s="4">
        <v>19</v>
      </c>
      <c r="D10" s="20">
        <v>17325.873535169998</v>
      </c>
      <c r="E10" s="41">
        <f t="shared" si="0"/>
        <v>11.760086129048945</v>
      </c>
      <c r="F10" s="4">
        <v>18</v>
      </c>
      <c r="G10" s="20">
        <v>16907.57089137</v>
      </c>
      <c r="H10" s="41">
        <f t="shared" si="1"/>
        <v>11.415883324648673</v>
      </c>
      <c r="I10" s="61">
        <f t="shared" si="2"/>
        <v>418.3026437999979</v>
      </c>
      <c r="J10" s="63">
        <f t="shared" si="3"/>
        <v>2.4740552412145074</v>
      </c>
    </row>
    <row r="11" spans="1:10" ht="23.25">
      <c r="A11" s="3">
        <v>5</v>
      </c>
      <c r="B11" s="32" t="s">
        <v>17</v>
      </c>
      <c r="C11" s="39">
        <v>50</v>
      </c>
      <c r="D11" s="20">
        <v>17052.2842258</v>
      </c>
      <c r="E11" s="41">
        <f t="shared" si="0"/>
        <v>11.574385025110542</v>
      </c>
      <c r="F11" s="39">
        <v>51</v>
      </c>
      <c r="G11" s="20">
        <v>17369.6520188</v>
      </c>
      <c r="H11" s="41">
        <f t="shared" si="1"/>
        <v>11.727877535476173</v>
      </c>
      <c r="I11" s="61">
        <f t="shared" si="2"/>
        <v>-317.36779300000126</v>
      </c>
      <c r="J11" s="63">
        <f t="shared" si="3"/>
        <v>-1.8271396148667747</v>
      </c>
    </row>
    <row r="12" spans="1:10" ht="23.25">
      <c r="A12" s="3">
        <v>6</v>
      </c>
      <c r="B12" s="32" t="s">
        <v>14</v>
      </c>
      <c r="C12" s="39">
        <v>25</v>
      </c>
      <c r="D12" s="20">
        <v>8753.536157069999</v>
      </c>
      <c r="E12" s="41">
        <f t="shared" si="0"/>
        <v>5.9415381817213095</v>
      </c>
      <c r="F12" s="39">
        <v>24</v>
      </c>
      <c r="G12" s="20">
        <v>8882.15893385</v>
      </c>
      <c r="H12" s="41">
        <f t="shared" si="1"/>
        <v>5.9971766915123865</v>
      </c>
      <c r="I12" s="61">
        <f t="shared" si="2"/>
        <v>-128.622776780001</v>
      </c>
      <c r="J12" s="63">
        <f t="shared" si="3"/>
        <v>-1.448102626151152</v>
      </c>
    </row>
    <row r="13" spans="1:10" ht="23.25">
      <c r="A13" s="3">
        <v>7</v>
      </c>
      <c r="B13" s="33" t="s">
        <v>30</v>
      </c>
      <c r="C13" s="5">
        <v>269</v>
      </c>
      <c r="D13" s="20">
        <v>7330.06464922</v>
      </c>
      <c r="E13" s="41">
        <f t="shared" si="0"/>
        <v>4.9753446157471535</v>
      </c>
      <c r="F13" s="5">
        <v>267</v>
      </c>
      <c r="G13" s="20">
        <v>6914.54475805</v>
      </c>
      <c r="H13" s="41">
        <f t="shared" si="1"/>
        <v>4.668656231466722</v>
      </c>
      <c r="I13" s="61">
        <f t="shared" si="2"/>
        <v>415.51989116999994</v>
      </c>
      <c r="J13" s="63">
        <f t="shared" si="3"/>
        <v>6.009360062153715</v>
      </c>
    </row>
    <row r="14" spans="1:10" ht="23.25">
      <c r="A14" s="3">
        <v>8</v>
      </c>
      <c r="B14" s="33" t="s">
        <v>80</v>
      </c>
      <c r="C14" s="5">
        <v>114</v>
      </c>
      <c r="D14" s="20">
        <v>3963.3060915100004</v>
      </c>
      <c r="E14" s="41">
        <f t="shared" si="0"/>
        <v>2.690128200308639</v>
      </c>
      <c r="F14" s="5">
        <v>112</v>
      </c>
      <c r="G14" s="20">
        <v>4044.64686935</v>
      </c>
      <c r="H14" s="41">
        <f t="shared" si="1"/>
        <v>2.730919600844197</v>
      </c>
      <c r="I14" s="61">
        <f t="shared" si="2"/>
        <v>-81.34077783999965</v>
      </c>
      <c r="J14" s="63">
        <f t="shared" si="3"/>
        <v>-2.011072424057421</v>
      </c>
    </row>
    <row r="15" spans="1:10" ht="23.25">
      <c r="A15" s="3">
        <v>9</v>
      </c>
      <c r="B15" s="32" t="s">
        <v>57</v>
      </c>
      <c r="C15" s="39">
        <v>2</v>
      </c>
      <c r="D15" s="40">
        <v>3481.79041652</v>
      </c>
      <c r="E15" s="41">
        <f t="shared" si="0"/>
        <v>2.363295281964012</v>
      </c>
      <c r="F15" s="39">
        <v>5</v>
      </c>
      <c r="G15" s="40">
        <v>3577.14970718</v>
      </c>
      <c r="H15" s="41">
        <f t="shared" si="1"/>
        <v>2.415268518129462</v>
      </c>
      <c r="I15" s="61">
        <f t="shared" si="2"/>
        <v>-95.35929066000017</v>
      </c>
      <c r="J15" s="63">
        <f t="shared" si="3"/>
        <v>-2.6657897618485595</v>
      </c>
    </row>
    <row r="16" spans="1:10" ht="23.25">
      <c r="A16" s="3">
        <v>10</v>
      </c>
      <c r="B16" s="32" t="s">
        <v>24</v>
      </c>
      <c r="C16" s="39">
        <v>52</v>
      </c>
      <c r="D16" s="20">
        <v>3083.65229862</v>
      </c>
      <c r="E16" s="41">
        <f t="shared" si="0"/>
        <v>2.0930555997767266</v>
      </c>
      <c r="F16" s="39">
        <v>52</v>
      </c>
      <c r="G16" s="20">
        <v>3128.65522927</v>
      </c>
      <c r="H16" s="41">
        <f t="shared" si="1"/>
        <v>2.112447925835916</v>
      </c>
      <c r="I16" s="61">
        <f t="shared" si="2"/>
        <v>-45.00293065000005</v>
      </c>
      <c r="J16" s="63">
        <f t="shared" si="3"/>
        <v>-1.4384113094014663</v>
      </c>
    </row>
    <row r="17" spans="1:10" ht="23.25">
      <c r="A17" s="3">
        <v>11</v>
      </c>
      <c r="B17" s="32" t="s">
        <v>31</v>
      </c>
      <c r="C17" s="39">
        <v>44</v>
      </c>
      <c r="D17" s="20">
        <v>2693.99317481</v>
      </c>
      <c r="E17" s="41">
        <f t="shared" si="0"/>
        <v>1.8285711079747156</v>
      </c>
      <c r="F17" s="5">
        <v>46</v>
      </c>
      <c r="G17" s="20">
        <v>3049.42737092</v>
      </c>
      <c r="H17" s="41">
        <f t="shared" si="1"/>
        <v>2.058953784495539</v>
      </c>
      <c r="I17" s="61">
        <f t="shared" si="2"/>
        <v>-355.43419611000036</v>
      </c>
      <c r="J17" s="63">
        <f t="shared" si="3"/>
        <v>-11.655768538693454</v>
      </c>
    </row>
    <row r="18" spans="1:10" ht="23.25">
      <c r="A18" s="3">
        <v>12</v>
      </c>
      <c r="B18" s="32" t="s">
        <v>46</v>
      </c>
      <c r="C18" s="54">
        <v>50</v>
      </c>
      <c r="D18" s="20">
        <v>2164.57128195</v>
      </c>
      <c r="E18" s="41">
        <f t="shared" si="0"/>
        <v>1.4692214309728957</v>
      </c>
      <c r="F18" s="39">
        <v>52</v>
      </c>
      <c r="G18" s="20">
        <v>2259.67523258</v>
      </c>
      <c r="H18" s="41">
        <f t="shared" si="1"/>
        <v>1.525718210644829</v>
      </c>
      <c r="I18" s="61">
        <f t="shared" si="2"/>
        <v>-95.10395062999987</v>
      </c>
      <c r="J18" s="63">
        <f t="shared" si="3"/>
        <v>-4.208744215044313</v>
      </c>
    </row>
    <row r="19" spans="1:10" ht="23.25">
      <c r="A19" s="3">
        <v>13</v>
      </c>
      <c r="B19" s="32" t="s">
        <v>51</v>
      </c>
      <c r="C19" s="4">
        <v>60</v>
      </c>
      <c r="D19" s="20">
        <v>1965.67179404</v>
      </c>
      <c r="E19" s="41">
        <f t="shared" si="0"/>
        <v>1.3342166876855104</v>
      </c>
      <c r="F19" s="4">
        <v>52</v>
      </c>
      <c r="G19" s="20">
        <v>1905.52725173</v>
      </c>
      <c r="H19" s="41">
        <f t="shared" si="1"/>
        <v>1.286599767491821</v>
      </c>
      <c r="I19" s="61">
        <f t="shared" si="2"/>
        <v>60.144542309999906</v>
      </c>
      <c r="J19" s="63">
        <f t="shared" si="3"/>
        <v>3.1563202392091516</v>
      </c>
    </row>
    <row r="20" spans="1:10" ht="23.25">
      <c r="A20" s="3">
        <v>14</v>
      </c>
      <c r="B20" s="32" t="s">
        <v>36</v>
      </c>
      <c r="C20" s="4">
        <v>37</v>
      </c>
      <c r="D20" s="20">
        <v>1940.05251546</v>
      </c>
      <c r="E20" s="41">
        <f t="shared" si="0"/>
        <v>1.3168273813366376</v>
      </c>
      <c r="F20" s="4">
        <v>36</v>
      </c>
      <c r="G20" s="20">
        <v>1992.18231599</v>
      </c>
      <c r="H20" s="41">
        <f t="shared" si="1"/>
        <v>1.3451087105823407</v>
      </c>
      <c r="I20" s="61">
        <f t="shared" si="2"/>
        <v>-52.12980053000001</v>
      </c>
      <c r="J20" s="63">
        <f t="shared" si="3"/>
        <v>-2.6167183651609967</v>
      </c>
    </row>
    <row r="21" spans="1:10" ht="23.25">
      <c r="A21" s="46">
        <v>15</v>
      </c>
      <c r="B21" s="32" t="s">
        <v>23</v>
      </c>
      <c r="C21" s="4">
        <v>2</v>
      </c>
      <c r="D21" s="20">
        <v>1773.1407846700001</v>
      </c>
      <c r="E21" s="41">
        <f t="shared" si="0"/>
        <v>1.2035346041468167</v>
      </c>
      <c r="F21" s="53">
        <v>2</v>
      </c>
      <c r="G21" s="58">
        <v>1844.19939852</v>
      </c>
      <c r="H21" s="41">
        <f t="shared" si="1"/>
        <v>1.2451915947096568</v>
      </c>
      <c r="I21" s="61">
        <f t="shared" si="2"/>
        <v>-71.0586138499998</v>
      </c>
      <c r="J21" s="63">
        <f t="shared" si="3"/>
        <v>-3.853087356336061</v>
      </c>
    </row>
    <row r="22" spans="1:10" ht="23.25">
      <c r="A22" s="3">
        <v>16</v>
      </c>
      <c r="B22" s="32" t="s">
        <v>52</v>
      </c>
      <c r="C22" s="39">
        <v>12</v>
      </c>
      <c r="D22" s="40">
        <v>1683.40320627</v>
      </c>
      <c r="E22" s="41">
        <f t="shared" si="0"/>
        <v>1.142624448658606</v>
      </c>
      <c r="F22" s="39">
        <v>12</v>
      </c>
      <c r="G22" s="40">
        <v>1700.14044229</v>
      </c>
      <c r="H22" s="41">
        <f t="shared" si="1"/>
        <v>1.147923912275643</v>
      </c>
      <c r="I22" s="61">
        <f t="shared" si="2"/>
        <v>-16.737236019999955</v>
      </c>
      <c r="J22" s="63">
        <f t="shared" si="3"/>
        <v>-0.984461965827704</v>
      </c>
    </row>
    <row r="23" spans="1:10" ht="23.25">
      <c r="A23" s="3">
        <v>17</v>
      </c>
      <c r="B23" s="33" t="s">
        <v>33</v>
      </c>
      <c r="C23" s="4">
        <v>4</v>
      </c>
      <c r="D23" s="20">
        <v>1667.7495923</v>
      </c>
      <c r="E23" s="41">
        <f t="shared" si="0"/>
        <v>1.1319994231356847</v>
      </c>
      <c r="F23" s="4">
        <v>4</v>
      </c>
      <c r="G23" s="20">
        <v>1768.67802455</v>
      </c>
      <c r="H23" s="41">
        <f t="shared" si="1"/>
        <v>1.1942000478282098</v>
      </c>
      <c r="I23" s="61">
        <f t="shared" si="2"/>
        <v>-100.92843225000001</v>
      </c>
      <c r="J23" s="63">
        <f t="shared" si="3"/>
        <v>-5.706433327551461</v>
      </c>
    </row>
    <row r="24" spans="1:10" ht="23.25">
      <c r="A24" s="3">
        <v>18</v>
      </c>
      <c r="B24" s="32" t="s">
        <v>34</v>
      </c>
      <c r="C24" s="39">
        <v>3</v>
      </c>
      <c r="D24" s="40">
        <v>994.2568615900001</v>
      </c>
      <c r="E24" s="41">
        <f t="shared" si="0"/>
        <v>0.674860422071156</v>
      </c>
      <c r="F24" s="39">
        <v>3</v>
      </c>
      <c r="G24" s="40">
        <v>914.39897711</v>
      </c>
      <c r="H24" s="41">
        <f t="shared" si="1"/>
        <v>0.6173963191953248</v>
      </c>
      <c r="I24" s="61">
        <f t="shared" si="2"/>
        <v>79.85788448000005</v>
      </c>
      <c r="J24" s="63">
        <f t="shared" si="3"/>
        <v>8.733374213999513</v>
      </c>
    </row>
    <row r="25" spans="1:10" ht="23.25">
      <c r="A25" s="21">
        <v>19</v>
      </c>
      <c r="B25" s="32" t="s">
        <v>32</v>
      </c>
      <c r="C25" s="4">
        <v>35</v>
      </c>
      <c r="D25" s="20">
        <v>868.1690622000001</v>
      </c>
      <c r="E25" s="41">
        <f t="shared" si="0"/>
        <v>0.589277240499463</v>
      </c>
      <c r="F25" s="4">
        <v>33</v>
      </c>
      <c r="G25" s="20">
        <v>943.74777636</v>
      </c>
      <c r="H25" s="41">
        <f t="shared" si="1"/>
        <v>0.6372124400390083</v>
      </c>
      <c r="I25" s="61">
        <f t="shared" si="2"/>
        <v>-75.57871415999989</v>
      </c>
      <c r="J25" s="63">
        <f t="shared" si="3"/>
        <v>-8.008359442340005</v>
      </c>
    </row>
    <row r="26" spans="1:10" ht="23.25">
      <c r="A26" s="21">
        <v>20</v>
      </c>
      <c r="B26" s="32" t="s">
        <v>25</v>
      </c>
      <c r="C26" s="5">
        <v>5</v>
      </c>
      <c r="D26" s="20">
        <v>642.52091314</v>
      </c>
      <c r="E26" s="41">
        <f t="shared" si="0"/>
        <v>0.43611661270084623</v>
      </c>
      <c r="F26" s="5">
        <v>5</v>
      </c>
      <c r="G26" s="20">
        <v>558.7004645599999</v>
      </c>
      <c r="H26" s="41">
        <f t="shared" si="1"/>
        <v>0.3772309669923947</v>
      </c>
      <c r="I26" s="61">
        <f t="shared" si="2"/>
        <v>83.82044858000006</v>
      </c>
      <c r="J26" s="63">
        <f t="shared" si="3"/>
        <v>15.002752619153842</v>
      </c>
    </row>
    <row r="27" spans="1:10" ht="23.25">
      <c r="A27" s="21">
        <v>21</v>
      </c>
      <c r="B27" s="32" t="s">
        <v>16</v>
      </c>
      <c r="C27" s="5">
        <v>72</v>
      </c>
      <c r="D27" s="20">
        <v>426.74752408999996</v>
      </c>
      <c r="E27" s="41">
        <f t="shared" si="0"/>
        <v>0.2896585634467144</v>
      </c>
      <c r="F27" s="5">
        <v>75</v>
      </c>
      <c r="G27" s="20">
        <v>571.6101331699999</v>
      </c>
      <c r="H27" s="45">
        <f t="shared" si="1"/>
        <v>0.385947492361918</v>
      </c>
      <c r="I27" s="61">
        <f t="shared" si="2"/>
        <v>-144.86260907999997</v>
      </c>
      <c r="J27" s="63">
        <f t="shared" si="3"/>
        <v>-25.342904310780835</v>
      </c>
    </row>
    <row r="28" spans="1:10" ht="23.25">
      <c r="A28" s="21">
        <v>22</v>
      </c>
      <c r="B28" s="32" t="s">
        <v>35</v>
      </c>
      <c r="C28" s="54">
        <v>6</v>
      </c>
      <c r="D28" s="20">
        <v>206.49887325999998</v>
      </c>
      <c r="E28" s="41">
        <f t="shared" si="0"/>
        <v>0.14016289165216597</v>
      </c>
      <c r="F28" s="54">
        <v>6</v>
      </c>
      <c r="G28" s="20">
        <v>215.46597122</v>
      </c>
      <c r="H28" s="45">
        <f t="shared" si="1"/>
        <v>0.14548124054503492</v>
      </c>
      <c r="I28" s="61">
        <f t="shared" si="2"/>
        <v>-8.967097960000018</v>
      </c>
      <c r="J28" s="63">
        <f t="shared" si="3"/>
        <v>-4.161723500572732</v>
      </c>
    </row>
    <row r="29" spans="1:10" ht="23.25">
      <c r="A29" s="21">
        <v>23</v>
      </c>
      <c r="B29" s="32" t="s">
        <v>72</v>
      </c>
      <c r="C29" s="54">
        <v>3</v>
      </c>
      <c r="D29" s="42">
        <v>7.35585989</v>
      </c>
      <c r="E29" s="41">
        <f t="shared" si="0"/>
        <v>0.004992853357957268</v>
      </c>
      <c r="F29" s="54">
        <v>3</v>
      </c>
      <c r="G29" s="20">
        <v>7.44452399</v>
      </c>
      <c r="H29" s="45">
        <f t="shared" si="1"/>
        <v>0.005026494806581983</v>
      </c>
      <c r="I29" s="61">
        <f t="shared" si="2"/>
        <v>-0.0886641000000008</v>
      </c>
      <c r="J29" s="63">
        <f t="shared" si="3"/>
        <v>-1.1909975724317707</v>
      </c>
    </row>
    <row r="30" spans="1:10" ht="24" thickBot="1">
      <c r="A30" s="21">
        <v>24</v>
      </c>
      <c r="B30" s="32" t="s">
        <v>58</v>
      </c>
      <c r="C30" s="54">
        <v>0</v>
      </c>
      <c r="D30" s="42">
        <v>0</v>
      </c>
      <c r="E30" s="41">
        <f t="shared" si="0"/>
        <v>0</v>
      </c>
      <c r="F30" s="39">
        <v>0</v>
      </c>
      <c r="G30" s="20">
        <v>0</v>
      </c>
      <c r="H30" s="45">
        <f t="shared" si="1"/>
        <v>0</v>
      </c>
      <c r="I30" s="61">
        <f t="shared" si="2"/>
        <v>0</v>
      </c>
      <c r="J30" s="63">
        <v>0</v>
      </c>
    </row>
    <row r="31" spans="1:11" ht="24" thickBot="1">
      <c r="A31" s="70" t="s">
        <v>11</v>
      </c>
      <c r="B31" s="71"/>
      <c r="C31" s="6">
        <f aca="true" t="shared" si="4" ref="C31:I31">SUM(C7:C30)</f>
        <v>1224</v>
      </c>
      <c r="D31" s="37">
        <f t="shared" si="4"/>
        <v>147327.77757786002</v>
      </c>
      <c r="E31" s="38">
        <f t="shared" si="4"/>
        <v>99.99999999999997</v>
      </c>
      <c r="F31" s="6">
        <f t="shared" si="4"/>
        <v>1211</v>
      </c>
      <c r="G31" s="59">
        <f t="shared" si="4"/>
        <v>148105.67356504</v>
      </c>
      <c r="H31" s="60">
        <f t="shared" si="4"/>
        <v>100.00000000000003</v>
      </c>
      <c r="I31" s="43">
        <f t="shared" si="4"/>
        <v>-777.8959871800124</v>
      </c>
      <c r="J31" s="66">
        <f>(D31-G31)/G31*100</f>
        <v>-0.5252303767001637</v>
      </c>
      <c r="K31" s="7"/>
    </row>
    <row r="32" spans="1:11" ht="5.25" customHeight="1">
      <c r="A32" s="22"/>
      <c r="B32" s="34"/>
      <c r="C32" s="23"/>
      <c r="D32" s="24"/>
      <c r="E32" s="25"/>
      <c r="F32" s="23"/>
      <c r="G32" s="24"/>
      <c r="H32" s="25"/>
      <c r="I32" s="26"/>
      <c r="J32" s="27"/>
      <c r="K32" s="7"/>
    </row>
    <row r="33" spans="2:10" ht="21">
      <c r="B33" s="35" t="s">
        <v>89</v>
      </c>
      <c r="H33" s="17" t="s">
        <v>10</v>
      </c>
      <c r="J33" s="18"/>
    </row>
    <row r="34" spans="2:10" ht="21">
      <c r="B34" s="68" t="s">
        <v>54</v>
      </c>
      <c r="H34" s="17" t="s">
        <v>9</v>
      </c>
      <c r="J34" s="18"/>
    </row>
    <row r="35" spans="2:10" ht="21">
      <c r="B35" s="67"/>
      <c r="H35" s="17"/>
      <c r="J35" s="18"/>
    </row>
    <row r="36" spans="2:10" ht="21">
      <c r="B36" s="67"/>
      <c r="H36" s="17"/>
      <c r="J36" s="18"/>
    </row>
    <row r="38" ht="21">
      <c r="F38" s="64"/>
    </row>
  </sheetData>
  <mergeCells count="6">
    <mergeCell ref="A31:B31"/>
    <mergeCell ref="F4:H4"/>
    <mergeCell ref="A1:J1"/>
    <mergeCell ref="A2:J2"/>
    <mergeCell ref="C4:E4"/>
    <mergeCell ref="I4:J4"/>
  </mergeCells>
  <printOptions horizontalCentered="1" verticalCentered="1"/>
  <pageMargins left="0.1968503937007874" right="0.1968503937007874" top="0.17" bottom="0.17" header="0.25" footer="0.15748031496062992"/>
  <pageSetup fitToHeight="1" fitToWidth="1" horizontalDpi="1200" verticalDpi="1200" orientation="landscape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15"/>
  <sheetViews>
    <sheetView zoomScale="75" zoomScaleNormal="75" workbookViewId="0" topLeftCell="A1">
      <selection activeCell="C15" sqref="C15"/>
    </sheetView>
  </sheetViews>
  <sheetFormatPr defaultColWidth="9.140625" defaultRowHeight="21.75"/>
  <cols>
    <col min="1" max="1" width="12.421875" style="47" bestFit="1" customWidth="1"/>
    <col min="2" max="2" width="10.57421875" style="47" bestFit="1" customWidth="1"/>
    <col min="3" max="3" width="10.00390625" style="47" bestFit="1" customWidth="1"/>
    <col min="4" max="16384" width="9.140625" style="47" customWidth="1"/>
  </cols>
  <sheetData>
    <row r="1" spans="1:3" ht="21.75">
      <c r="A1" s="47" t="s">
        <v>27</v>
      </c>
      <c r="B1" s="47" t="s">
        <v>5</v>
      </c>
      <c r="C1" s="47" t="s">
        <v>28</v>
      </c>
    </row>
    <row r="2" spans="1:3" ht="21.75">
      <c r="A2" s="51">
        <v>237014</v>
      </c>
      <c r="B2" s="50">
        <v>2353.0247474234047</v>
      </c>
      <c r="C2" s="50">
        <v>1.678406584894589</v>
      </c>
    </row>
    <row r="3" spans="1:3" ht="21.75">
      <c r="A3" s="52">
        <v>237045</v>
      </c>
      <c r="B3" s="50">
        <f>'ม.ค'!I32</f>
        <v>1109.447823889996</v>
      </c>
      <c r="C3" s="50">
        <f>'ม.ค'!J32</f>
        <v>0.7783032265354475</v>
      </c>
    </row>
    <row r="4" spans="1:3" ht="21.75">
      <c r="A4" s="52">
        <v>237076</v>
      </c>
      <c r="B4" s="50">
        <f>'ก.พ'!I30</f>
        <v>-11006.098233540004</v>
      </c>
      <c r="C4" s="50">
        <f>'ก.พ'!J30</f>
        <v>-7.661402709526707</v>
      </c>
    </row>
    <row r="5" spans="1:3" ht="21.75">
      <c r="A5" s="52">
        <v>237104</v>
      </c>
      <c r="B5" s="50">
        <f>'มี.ค'!I31</f>
        <v>167.13224344000193</v>
      </c>
      <c r="C5" s="50">
        <f>'มี.ค'!J31</f>
        <v>0.12599458375373776</v>
      </c>
    </row>
    <row r="6" spans="1:3" ht="21.75">
      <c r="A6" s="52">
        <v>237135</v>
      </c>
      <c r="B6" s="50">
        <f>'เม.ย'!I31</f>
        <v>-2575.4115984800037</v>
      </c>
      <c r="C6" s="50">
        <f>'เม.ย'!J31</f>
        <v>-1.9390608475350273</v>
      </c>
    </row>
    <row r="7" spans="1:3" ht="21.75">
      <c r="A7" s="52">
        <v>237165</v>
      </c>
      <c r="B7" s="50">
        <f>'พ.ค'!I31</f>
        <v>-45.5749832599959</v>
      </c>
      <c r="C7" s="50">
        <f>'พ.ค'!J31</f>
        <v>-0.03499252324105218</v>
      </c>
    </row>
    <row r="8" spans="1:3" ht="21.75">
      <c r="A8" s="52">
        <v>237196</v>
      </c>
      <c r="B8" s="50">
        <f>'มิ.ย'!I31</f>
        <v>-144.81413777000077</v>
      </c>
      <c r="C8" s="50">
        <f>'มิ.ย'!J31</f>
        <v>-0.11122737859699183</v>
      </c>
    </row>
    <row r="9" spans="1:3" ht="21.75">
      <c r="A9" s="52">
        <v>237226</v>
      </c>
      <c r="B9" s="50">
        <f>'ก.ค'!I31</f>
        <v>696.96261768</v>
      </c>
      <c r="C9" s="50">
        <f>'ก.ค'!J31</f>
        <v>0.5359120807528057</v>
      </c>
    </row>
    <row r="10" spans="1:3" ht="21.75">
      <c r="A10" s="52">
        <v>237257</v>
      </c>
      <c r="B10" s="50">
        <f>'ส.ค'!I31</f>
        <v>943.2670424400003</v>
      </c>
      <c r="C10" s="50">
        <f>'ส.ค'!J31</f>
        <v>0.7214354859604449</v>
      </c>
    </row>
    <row r="11" spans="1:3" ht="21.75">
      <c r="A11" s="52">
        <v>237288</v>
      </c>
      <c r="B11" s="50">
        <f>'ก.ย'!I31</f>
        <v>9595.558837349994</v>
      </c>
      <c r="C11" s="50">
        <f>'ก.ย'!J31</f>
        <v>7.286369752356523</v>
      </c>
    </row>
    <row r="12" spans="1:3" ht="21.75">
      <c r="A12" s="52">
        <v>237318</v>
      </c>
      <c r="B12" s="50">
        <f>'ต.ค'!I31</f>
        <v>2604.275273260008</v>
      </c>
      <c r="C12" s="50">
        <f>'ต.ค'!J31</f>
        <v>1.84324587413666</v>
      </c>
    </row>
    <row r="13" spans="1:3" ht="21.75">
      <c r="A13" s="52">
        <v>237349</v>
      </c>
      <c r="B13" s="50">
        <f>'พ.ย'!I31</f>
        <v>4213.938501330001</v>
      </c>
      <c r="C13" s="50">
        <f>'พ.ย'!J31</f>
        <v>2.9285479805106647</v>
      </c>
    </row>
    <row r="14" spans="1:3" ht="21.75">
      <c r="A14" s="52">
        <v>237379</v>
      </c>
      <c r="B14" s="50">
        <f>'ธ.ค.'!I31</f>
        <v>-777.8959871800124</v>
      </c>
      <c r="C14" s="50">
        <f>'ธ.ค.'!J31</f>
        <v>-0.5252303767001637</v>
      </c>
    </row>
    <row r="15" spans="1:3" ht="21.75">
      <c r="A15" s="48"/>
      <c r="B15" s="49"/>
      <c r="C15" s="49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9"/>
  <sheetViews>
    <sheetView zoomScale="75" zoomScaleNormal="75" workbookViewId="0" topLeftCell="A13">
      <selection activeCell="B21" sqref="B21"/>
    </sheetView>
  </sheetViews>
  <sheetFormatPr defaultColWidth="9.140625" defaultRowHeight="21.75"/>
  <cols>
    <col min="1" max="1" width="6.57421875" style="1" customWidth="1"/>
    <col min="2" max="2" width="55.7109375" style="35" customWidth="1"/>
    <col min="3" max="3" width="11.00390625" style="1" customWidth="1"/>
    <col min="4" max="4" width="14.8515625" style="1" customWidth="1"/>
    <col min="5" max="5" width="10.421875" style="1" customWidth="1"/>
    <col min="6" max="6" width="10.7109375" style="1" customWidth="1"/>
    <col min="7" max="7" width="14.7109375" style="1" customWidth="1"/>
    <col min="8" max="8" width="10.00390625" style="1" customWidth="1"/>
    <col min="9" max="9" width="15.00390625" style="1" customWidth="1"/>
    <col min="10" max="10" width="10.28125" style="1" customWidth="1"/>
    <col min="11" max="16384" width="9.140625" style="1" customWidth="1"/>
  </cols>
  <sheetData>
    <row r="1" spans="1:10" ht="23.25">
      <c r="A1" s="75" t="s">
        <v>12</v>
      </c>
      <c r="B1" s="76"/>
      <c r="C1" s="76"/>
      <c r="D1" s="76"/>
      <c r="E1" s="76"/>
      <c r="F1" s="76"/>
      <c r="G1" s="76"/>
      <c r="H1" s="76"/>
      <c r="I1" s="76"/>
      <c r="J1" s="76"/>
    </row>
    <row r="2" spans="1:10" ht="23.25">
      <c r="A2" s="75" t="s">
        <v>43</v>
      </c>
      <c r="B2" s="76"/>
      <c r="C2" s="76"/>
      <c r="D2" s="76"/>
      <c r="E2" s="76"/>
      <c r="F2" s="76"/>
      <c r="G2" s="76"/>
      <c r="H2" s="76"/>
      <c r="I2" s="76"/>
      <c r="J2" s="76"/>
    </row>
    <row r="3" spans="1:10" ht="5.25" customHeight="1" thickBot="1">
      <c r="A3" s="19"/>
      <c r="B3" s="28"/>
      <c r="C3" s="2"/>
      <c r="D3" s="19"/>
      <c r="E3" s="19"/>
      <c r="F3" s="2"/>
      <c r="G3" s="2"/>
      <c r="H3" s="2"/>
      <c r="I3" s="19"/>
      <c r="J3" s="19"/>
    </row>
    <row r="4" spans="1:10" ht="22.5" customHeight="1" thickBot="1">
      <c r="A4" s="8"/>
      <c r="B4" s="29"/>
      <c r="C4" s="72" t="s">
        <v>44</v>
      </c>
      <c r="D4" s="73"/>
      <c r="E4" s="74"/>
      <c r="F4" s="72" t="s">
        <v>40</v>
      </c>
      <c r="G4" s="73"/>
      <c r="H4" s="74"/>
      <c r="I4" s="77" t="s">
        <v>8</v>
      </c>
      <c r="J4" s="74"/>
    </row>
    <row r="5" spans="1:10" ht="23.25">
      <c r="A5" s="9" t="s">
        <v>0</v>
      </c>
      <c r="B5" s="30" t="s">
        <v>1</v>
      </c>
      <c r="C5" s="10" t="s">
        <v>2</v>
      </c>
      <c r="D5" s="11" t="s">
        <v>5</v>
      </c>
      <c r="E5" s="12" t="s">
        <v>3</v>
      </c>
      <c r="F5" s="10" t="s">
        <v>2</v>
      </c>
      <c r="G5" s="11" t="s">
        <v>5</v>
      </c>
      <c r="H5" s="56" t="s">
        <v>3</v>
      </c>
      <c r="I5" s="10" t="s">
        <v>5</v>
      </c>
      <c r="J5" s="56" t="s">
        <v>7</v>
      </c>
    </row>
    <row r="6" spans="1:10" ht="24" thickBot="1">
      <c r="A6" s="13"/>
      <c r="B6" s="31"/>
      <c r="C6" s="14" t="s">
        <v>4</v>
      </c>
      <c r="D6" s="15" t="s">
        <v>6</v>
      </c>
      <c r="E6" s="16"/>
      <c r="F6" s="14" t="s">
        <v>4</v>
      </c>
      <c r="G6" s="15" t="s">
        <v>6</v>
      </c>
      <c r="H6" s="57"/>
      <c r="I6" s="14" t="s">
        <v>6</v>
      </c>
      <c r="J6" s="57"/>
    </row>
    <row r="7" spans="1:10" ht="23.25">
      <c r="A7" s="3">
        <v>1</v>
      </c>
      <c r="B7" s="32" t="s">
        <v>22</v>
      </c>
      <c r="C7" s="39">
        <v>210</v>
      </c>
      <c r="D7" s="20">
        <f>42309874473.14/1000000</f>
        <v>42309.87447314</v>
      </c>
      <c r="E7" s="41">
        <f aca="true" t="shared" si="0" ref="E7:E31">(D7/$D$32)*100</f>
        <v>29.4521255444028</v>
      </c>
      <c r="F7" s="39">
        <v>222</v>
      </c>
      <c r="G7" s="20">
        <v>41605.60884726</v>
      </c>
      <c r="H7" s="44">
        <f aca="true" t="shared" si="1" ref="H7:H31">(G7/$G$32)*100</f>
        <v>29.187293814553566</v>
      </c>
      <c r="I7" s="61">
        <f aca="true" t="shared" si="2" ref="I7:I31">(D7-G7)</f>
        <v>704.265625879998</v>
      </c>
      <c r="J7" s="62">
        <f aca="true" t="shared" si="3" ref="J7:J30">(D7-G7)/G7*100</f>
        <v>1.6927179901764093</v>
      </c>
    </row>
    <row r="8" spans="1:10" ht="23.25">
      <c r="A8" s="3">
        <v>2</v>
      </c>
      <c r="B8" s="32" t="s">
        <v>19</v>
      </c>
      <c r="C8" s="4">
        <v>117</v>
      </c>
      <c r="D8" s="20">
        <f>20687126271.08/1000000</f>
        <v>20687.12627108</v>
      </c>
      <c r="E8" s="41">
        <f t="shared" si="0"/>
        <v>14.40041710536288</v>
      </c>
      <c r="F8" s="4">
        <v>117</v>
      </c>
      <c r="G8" s="20">
        <v>20843.47936766</v>
      </c>
      <c r="H8" s="41">
        <f t="shared" si="1"/>
        <v>14.622181318265753</v>
      </c>
      <c r="I8" s="61">
        <f t="shared" si="2"/>
        <v>-156.35309657999824</v>
      </c>
      <c r="J8" s="63">
        <f t="shared" si="3"/>
        <v>-0.7501295432594144</v>
      </c>
    </row>
    <row r="9" spans="1:10" ht="23.25">
      <c r="A9" s="3">
        <v>3</v>
      </c>
      <c r="B9" s="32" t="s">
        <v>14</v>
      </c>
      <c r="C9" s="39">
        <v>39</v>
      </c>
      <c r="D9" s="20">
        <f>17108195552.62/1000000</f>
        <v>17108.19555262</v>
      </c>
      <c r="E9" s="41">
        <f t="shared" si="0"/>
        <v>11.909104660044227</v>
      </c>
      <c r="F9" s="39">
        <v>39</v>
      </c>
      <c r="G9" s="20">
        <v>16991.563709590002</v>
      </c>
      <c r="H9" s="41">
        <f t="shared" si="1"/>
        <v>11.919973679057692</v>
      </c>
      <c r="I9" s="61">
        <f t="shared" si="2"/>
        <v>116.63184302999798</v>
      </c>
      <c r="J9" s="63">
        <f t="shared" si="3"/>
        <v>0.6864102976241747</v>
      </c>
    </row>
    <row r="10" spans="1:10" ht="23.25">
      <c r="A10" s="3">
        <v>4</v>
      </c>
      <c r="B10" s="32" t="s">
        <v>17</v>
      </c>
      <c r="C10" s="39">
        <v>49</v>
      </c>
      <c r="D10" s="20">
        <f>15429129295.73/1000000</f>
        <v>15429.12929573</v>
      </c>
      <c r="E10" s="41">
        <f t="shared" si="0"/>
        <v>10.740297831588878</v>
      </c>
      <c r="F10" s="39">
        <v>50</v>
      </c>
      <c r="G10" s="20">
        <v>15330.14283878</v>
      </c>
      <c r="H10" s="41">
        <f t="shared" si="1"/>
        <v>10.754448634490139</v>
      </c>
      <c r="I10" s="61">
        <f t="shared" si="2"/>
        <v>98.98645694999868</v>
      </c>
      <c r="J10" s="63">
        <f t="shared" si="3"/>
        <v>0.6456982038001428</v>
      </c>
    </row>
    <row r="11" spans="1:10" ht="23.25">
      <c r="A11" s="3">
        <v>5</v>
      </c>
      <c r="B11" s="32" t="s">
        <v>30</v>
      </c>
      <c r="C11" s="4">
        <v>410</v>
      </c>
      <c r="D11" s="20">
        <f>7872.02</f>
        <v>7872.02</v>
      </c>
      <c r="E11" s="41">
        <f t="shared" si="0"/>
        <v>5.47975441230004</v>
      </c>
      <c r="F11" s="4">
        <v>411</v>
      </c>
      <c r="G11" s="20">
        <v>7983.35</v>
      </c>
      <c r="H11" s="41">
        <f t="shared" si="1"/>
        <v>5.60050407938596</v>
      </c>
      <c r="I11" s="61">
        <f t="shared" si="2"/>
        <v>-111.32999999999993</v>
      </c>
      <c r="J11" s="63">
        <f t="shared" si="3"/>
        <v>-1.394527360068141</v>
      </c>
    </row>
    <row r="12" spans="1:10" ht="23.25">
      <c r="A12" s="3">
        <v>6</v>
      </c>
      <c r="B12" s="32" t="s">
        <v>20</v>
      </c>
      <c r="C12" s="4">
        <v>121</v>
      </c>
      <c r="D12" s="20">
        <f>7790.01</f>
        <v>7790.01</v>
      </c>
      <c r="E12" s="41">
        <f t="shared" si="0"/>
        <v>5.422666821141388</v>
      </c>
      <c r="F12" s="4">
        <v>124</v>
      </c>
      <c r="G12" s="20">
        <v>7776.88</v>
      </c>
      <c r="H12" s="41">
        <f t="shared" si="1"/>
        <v>5.455660614265325</v>
      </c>
      <c r="I12" s="61">
        <f t="shared" si="2"/>
        <v>13.13000000000011</v>
      </c>
      <c r="J12" s="63">
        <f t="shared" si="3"/>
        <v>0.1688337739556237</v>
      </c>
    </row>
    <row r="13" spans="1:10" ht="23.25">
      <c r="A13" s="3">
        <v>7</v>
      </c>
      <c r="B13" s="33" t="s">
        <v>21</v>
      </c>
      <c r="C13" s="5">
        <v>11</v>
      </c>
      <c r="D13" s="20">
        <f>7157068/1000</f>
        <v>7157.068</v>
      </c>
      <c r="E13" s="41">
        <f t="shared" si="0"/>
        <v>4.982072575035559</v>
      </c>
      <c r="F13" s="5">
        <v>10</v>
      </c>
      <c r="G13" s="20">
        <v>6873.49762</v>
      </c>
      <c r="H13" s="41">
        <f t="shared" si="1"/>
        <v>4.821917047412387</v>
      </c>
      <c r="I13" s="61">
        <f t="shared" si="2"/>
        <v>283.5703800000001</v>
      </c>
      <c r="J13" s="63">
        <f t="shared" si="3"/>
        <v>4.125561623457726</v>
      </c>
    </row>
    <row r="14" spans="1:10" ht="23.25">
      <c r="A14" s="3">
        <v>8</v>
      </c>
      <c r="B14" s="33" t="s">
        <v>26</v>
      </c>
      <c r="C14" s="5">
        <v>20</v>
      </c>
      <c r="D14" s="20">
        <f>5542261486.71/1000000</f>
        <v>5542.26148671</v>
      </c>
      <c r="E14" s="41">
        <f t="shared" si="0"/>
        <v>3.8579972911552183</v>
      </c>
      <c r="F14" s="5">
        <v>21</v>
      </c>
      <c r="G14" s="20">
        <v>5509.14093596</v>
      </c>
      <c r="H14" s="41">
        <f t="shared" si="1"/>
        <v>3.8647893786137604</v>
      </c>
      <c r="I14" s="61">
        <f t="shared" si="2"/>
        <v>33.12055074999989</v>
      </c>
      <c r="J14" s="63">
        <f t="shared" si="3"/>
        <v>0.6011926566229412</v>
      </c>
    </row>
    <row r="15" spans="1:10" ht="23.25">
      <c r="A15" s="3">
        <v>9</v>
      </c>
      <c r="B15" s="32" t="s">
        <v>31</v>
      </c>
      <c r="C15" s="4">
        <v>55</v>
      </c>
      <c r="D15" s="20">
        <f>3938017219.7/1000000</f>
        <v>3938.0172196999997</v>
      </c>
      <c r="E15" s="41">
        <f t="shared" si="0"/>
        <v>2.7412744423114535</v>
      </c>
      <c r="F15" s="4">
        <v>59</v>
      </c>
      <c r="G15" s="20">
        <v>3814.21119704</v>
      </c>
      <c r="H15" s="41">
        <f t="shared" si="1"/>
        <v>2.6757570905274255</v>
      </c>
      <c r="I15" s="61">
        <f t="shared" si="2"/>
        <v>123.8060226599996</v>
      </c>
      <c r="J15" s="63">
        <f t="shared" si="3"/>
        <v>3.245914194685356</v>
      </c>
    </row>
    <row r="16" spans="1:10" ht="23.25">
      <c r="A16" s="3">
        <v>10</v>
      </c>
      <c r="B16" s="32" t="s">
        <v>24</v>
      </c>
      <c r="C16" s="39">
        <v>69</v>
      </c>
      <c r="D16" s="20">
        <f>2970.58</f>
        <v>2970.58</v>
      </c>
      <c r="E16" s="41">
        <f t="shared" si="0"/>
        <v>2.067836319278946</v>
      </c>
      <c r="F16" s="39">
        <v>49</v>
      </c>
      <c r="G16" s="20">
        <v>1705.3</v>
      </c>
      <c r="H16" s="41">
        <f t="shared" si="1"/>
        <v>1.1963072653180526</v>
      </c>
      <c r="I16" s="61">
        <f t="shared" si="2"/>
        <v>1265.28</v>
      </c>
      <c r="J16" s="63">
        <f t="shared" si="3"/>
        <v>74.19691549873923</v>
      </c>
    </row>
    <row r="17" spans="1:10" ht="23.25">
      <c r="A17" s="3">
        <v>11</v>
      </c>
      <c r="B17" s="32" t="s">
        <v>57</v>
      </c>
      <c r="C17" s="54">
        <v>2</v>
      </c>
      <c r="D17" s="40">
        <f>(2709556094.49+2284901.21)/1000000</f>
        <v>2711.8409957</v>
      </c>
      <c r="E17" s="41">
        <f t="shared" si="0"/>
        <v>1.8877267412485244</v>
      </c>
      <c r="F17" s="54">
        <v>2</v>
      </c>
      <c r="G17" s="40">
        <v>2657.15904005</v>
      </c>
      <c r="H17" s="41">
        <f t="shared" si="1"/>
        <v>1.8640583268148463</v>
      </c>
      <c r="I17" s="61">
        <f t="shared" si="2"/>
        <v>54.68195564999996</v>
      </c>
      <c r="J17" s="63">
        <f t="shared" si="3"/>
        <v>2.057910528719087</v>
      </c>
    </row>
    <row r="18" spans="1:10" ht="23.25">
      <c r="A18" s="3">
        <v>12</v>
      </c>
      <c r="B18" s="32" t="s">
        <v>46</v>
      </c>
      <c r="C18" s="39">
        <v>55</v>
      </c>
      <c r="D18" s="20">
        <f>2302456661.98/1000000</f>
        <v>2302.45666198</v>
      </c>
      <c r="E18" s="41">
        <f t="shared" si="0"/>
        <v>1.6027521592443268</v>
      </c>
      <c r="F18" s="39">
        <v>54</v>
      </c>
      <c r="G18" s="20">
        <v>2104.61152318</v>
      </c>
      <c r="H18" s="41">
        <f t="shared" si="1"/>
        <v>1.4764335048685435</v>
      </c>
      <c r="I18" s="61">
        <f t="shared" si="2"/>
        <v>197.84513879999986</v>
      </c>
      <c r="J18" s="63">
        <f t="shared" si="3"/>
        <v>9.400553813421219</v>
      </c>
    </row>
    <row r="19" spans="1:10" ht="23.25">
      <c r="A19" s="3">
        <v>13</v>
      </c>
      <c r="B19" s="32" t="s">
        <v>36</v>
      </c>
      <c r="C19" s="4">
        <v>55</v>
      </c>
      <c r="D19" s="20">
        <f>2013.07</f>
        <v>2013.07</v>
      </c>
      <c r="E19" s="41">
        <f t="shared" si="0"/>
        <v>1.4013085859498378</v>
      </c>
      <c r="F19" s="4">
        <v>56</v>
      </c>
      <c r="G19" s="20">
        <v>2014.82</v>
      </c>
      <c r="H19" s="41">
        <f t="shared" si="1"/>
        <v>1.41344268123387</v>
      </c>
      <c r="I19" s="61">
        <f t="shared" si="2"/>
        <v>-1.75</v>
      </c>
      <c r="J19" s="63">
        <f t="shared" si="3"/>
        <v>-0.08685639411957395</v>
      </c>
    </row>
    <row r="20" spans="1:10" ht="23.25">
      <c r="A20" s="3">
        <v>14</v>
      </c>
      <c r="B20" s="32" t="s">
        <v>25</v>
      </c>
      <c r="C20" s="4">
        <v>3</v>
      </c>
      <c r="D20" s="20">
        <f>1313280856.41/1000000</f>
        <v>1313.28085641</v>
      </c>
      <c r="E20" s="41">
        <f t="shared" si="0"/>
        <v>0.9141816925645353</v>
      </c>
      <c r="F20" s="4">
        <v>3</v>
      </c>
      <c r="G20" s="20">
        <v>1297.1553154100002</v>
      </c>
      <c r="H20" s="41">
        <f t="shared" si="1"/>
        <v>0.9099843593918451</v>
      </c>
      <c r="I20" s="61">
        <f t="shared" si="2"/>
        <v>16.125540999999885</v>
      </c>
      <c r="J20" s="63">
        <f t="shared" si="3"/>
        <v>1.243146507471465</v>
      </c>
    </row>
    <row r="21" spans="1:10" ht="23.25">
      <c r="A21" s="46">
        <v>15</v>
      </c>
      <c r="B21" s="32" t="s">
        <v>33</v>
      </c>
      <c r="C21" s="4">
        <v>1</v>
      </c>
      <c r="D21" s="20">
        <f>1217239216.81/1000000</f>
        <v>1217.23921681</v>
      </c>
      <c r="E21" s="41">
        <f t="shared" si="0"/>
        <v>0.8473266034816022</v>
      </c>
      <c r="F21" s="4">
        <v>2</v>
      </c>
      <c r="G21" s="20">
        <v>1433.0755221099998</v>
      </c>
      <c r="H21" s="41">
        <f t="shared" si="1"/>
        <v>1.0053355180024948</v>
      </c>
      <c r="I21" s="61">
        <f t="shared" si="2"/>
        <v>-215.83630529999982</v>
      </c>
      <c r="J21" s="63">
        <f t="shared" si="3"/>
        <v>-15.061055887844038</v>
      </c>
    </row>
    <row r="22" spans="1:10" ht="23.25">
      <c r="A22" s="3">
        <v>16</v>
      </c>
      <c r="B22" s="32" t="s">
        <v>32</v>
      </c>
      <c r="C22" s="4">
        <v>35</v>
      </c>
      <c r="D22" s="20">
        <f>963186904.78/1000000</f>
        <v>963.18690478</v>
      </c>
      <c r="E22" s="41">
        <f t="shared" si="0"/>
        <v>0.6704794565229538</v>
      </c>
      <c r="F22" s="4">
        <v>34</v>
      </c>
      <c r="G22" s="20">
        <v>896.90974213</v>
      </c>
      <c r="H22" s="41">
        <f t="shared" si="1"/>
        <v>0.6292028621618837</v>
      </c>
      <c r="I22" s="61">
        <f t="shared" si="2"/>
        <v>66.27716264999992</v>
      </c>
      <c r="J22" s="63">
        <f t="shared" si="3"/>
        <v>7.389501923861761</v>
      </c>
    </row>
    <row r="23" spans="1:10" ht="23.25">
      <c r="A23" s="3">
        <v>17</v>
      </c>
      <c r="B23" s="33" t="s">
        <v>37</v>
      </c>
      <c r="C23" s="39">
        <v>12</v>
      </c>
      <c r="D23" s="40">
        <f>792919115.72/1000000</f>
        <v>792.91911572</v>
      </c>
      <c r="E23" s="41">
        <f t="shared" si="0"/>
        <v>0.5519551554700973</v>
      </c>
      <c r="F23" s="39">
        <v>13</v>
      </c>
      <c r="G23" s="40">
        <v>919.83763696</v>
      </c>
      <c r="H23" s="41">
        <f t="shared" si="1"/>
        <v>0.6452873089827229</v>
      </c>
      <c r="I23" s="61">
        <f t="shared" si="2"/>
        <v>-126.91852124000002</v>
      </c>
      <c r="J23" s="63">
        <f t="shared" si="3"/>
        <v>-13.797926518799228</v>
      </c>
    </row>
    <row r="24" spans="1:10" ht="23.25">
      <c r="A24" s="3">
        <v>18</v>
      </c>
      <c r="B24" s="32" t="s">
        <v>16</v>
      </c>
      <c r="C24" s="4">
        <v>86</v>
      </c>
      <c r="D24" s="20">
        <f>630501408.9/1000000</f>
        <v>630.5014089</v>
      </c>
      <c r="E24" s="41">
        <f t="shared" si="0"/>
        <v>0.438895337839737</v>
      </c>
      <c r="F24" s="4">
        <v>87</v>
      </c>
      <c r="G24" s="20">
        <v>619.31498421</v>
      </c>
      <c r="H24" s="41">
        <f t="shared" si="1"/>
        <v>0.43446373959465084</v>
      </c>
      <c r="I24" s="61">
        <f t="shared" si="2"/>
        <v>11.186424689999967</v>
      </c>
      <c r="J24" s="63">
        <f t="shared" si="3"/>
        <v>1.806257716220027</v>
      </c>
    </row>
    <row r="25" spans="1:10" ht="23.25">
      <c r="A25" s="21">
        <v>19</v>
      </c>
      <c r="B25" s="32" t="s">
        <v>51</v>
      </c>
      <c r="C25" s="4">
        <v>18</v>
      </c>
      <c r="D25" s="20">
        <f>524673853.5/1000000</f>
        <v>524.6738535</v>
      </c>
      <c r="E25" s="41">
        <f t="shared" si="0"/>
        <v>0.36522822143936234</v>
      </c>
      <c r="F25" s="4">
        <v>6</v>
      </c>
      <c r="G25" s="20">
        <v>306.40674474</v>
      </c>
      <c r="H25" s="41">
        <f t="shared" si="1"/>
        <v>0.21495139557550932</v>
      </c>
      <c r="I25" s="61">
        <f t="shared" si="2"/>
        <v>218.26710875999993</v>
      </c>
      <c r="J25" s="63">
        <f t="shared" si="3"/>
        <v>71.23443347998408</v>
      </c>
    </row>
    <row r="26" spans="1:10" ht="23.25">
      <c r="A26" s="21">
        <v>20</v>
      </c>
      <c r="B26" s="32" t="s">
        <v>35</v>
      </c>
      <c r="C26" s="54">
        <v>4</v>
      </c>
      <c r="D26" s="20">
        <f>194878930.08/1000000</f>
        <v>194.87893008</v>
      </c>
      <c r="E26" s="41">
        <f t="shared" si="0"/>
        <v>0.13565624540717516</v>
      </c>
      <c r="F26" s="54">
        <v>4</v>
      </c>
      <c r="G26" s="20">
        <v>188.66070534</v>
      </c>
      <c r="H26" s="41">
        <f t="shared" si="1"/>
        <v>0.1323498343272564</v>
      </c>
      <c r="I26" s="61">
        <f t="shared" si="2"/>
        <v>6.218224740000011</v>
      </c>
      <c r="J26" s="63">
        <f t="shared" si="3"/>
        <v>3.295982981084306</v>
      </c>
    </row>
    <row r="27" spans="1:10" ht="23.25">
      <c r="A27" s="21">
        <v>21</v>
      </c>
      <c r="B27" s="32" t="s">
        <v>34</v>
      </c>
      <c r="C27" s="54">
        <v>2</v>
      </c>
      <c r="D27" s="40">
        <f>181973532.53/1000000</f>
        <v>181.97353253</v>
      </c>
      <c r="E27" s="41">
        <f t="shared" si="0"/>
        <v>0.12667273048126051</v>
      </c>
      <c r="F27" s="54">
        <v>2</v>
      </c>
      <c r="G27" s="40">
        <v>175.96910918</v>
      </c>
      <c r="H27" s="45">
        <f t="shared" si="1"/>
        <v>0.1234463870190463</v>
      </c>
      <c r="I27" s="61">
        <f t="shared" si="2"/>
        <v>6.004423349999996</v>
      </c>
      <c r="J27" s="63">
        <f t="shared" si="3"/>
        <v>3.4122030724483756</v>
      </c>
    </row>
    <row r="28" spans="1:10" ht="23.25">
      <c r="A28" s="21">
        <v>22</v>
      </c>
      <c r="B28" s="32" t="s">
        <v>72</v>
      </c>
      <c r="C28" s="54">
        <v>2</v>
      </c>
      <c r="D28" s="20">
        <f>6134227.2/1000000</f>
        <v>6.1342272</v>
      </c>
      <c r="E28" s="41">
        <f t="shared" si="0"/>
        <v>0.004270067729153498</v>
      </c>
      <c r="F28" s="54">
        <v>2</v>
      </c>
      <c r="G28" s="20">
        <v>2.0691357900000003</v>
      </c>
      <c r="H28" s="45">
        <f t="shared" si="1"/>
        <v>0.0014515464601575143</v>
      </c>
      <c r="I28" s="61">
        <f t="shared" si="2"/>
        <v>4.065091409999999</v>
      </c>
      <c r="J28" s="63">
        <f t="shared" si="3"/>
        <v>196.46324951925936</v>
      </c>
    </row>
    <row r="29" spans="1:10" ht="23.25">
      <c r="A29" s="21">
        <v>23</v>
      </c>
      <c r="B29" s="32" t="s">
        <v>15</v>
      </c>
      <c r="C29" s="5">
        <v>0</v>
      </c>
      <c r="D29" s="42">
        <v>0</v>
      </c>
      <c r="E29" s="41">
        <f t="shared" si="0"/>
        <v>0</v>
      </c>
      <c r="F29" s="5">
        <v>6</v>
      </c>
      <c r="G29" s="42">
        <v>874.5013931</v>
      </c>
      <c r="H29" s="45">
        <f t="shared" si="1"/>
        <v>0.6134828886977589</v>
      </c>
      <c r="I29" s="61">
        <f t="shared" si="2"/>
        <v>-874.5013931</v>
      </c>
      <c r="J29" s="63">
        <f t="shared" si="3"/>
        <v>-100</v>
      </c>
    </row>
    <row r="30" spans="1:10" ht="23.25">
      <c r="A30" s="21">
        <v>24</v>
      </c>
      <c r="B30" s="32" t="s">
        <v>29</v>
      </c>
      <c r="C30" s="54">
        <v>0</v>
      </c>
      <c r="D30" s="42">
        <v>0</v>
      </c>
      <c r="E30" s="41">
        <f t="shared" si="0"/>
        <v>0</v>
      </c>
      <c r="F30" s="54">
        <v>19</v>
      </c>
      <c r="G30" s="42">
        <v>623.32481021</v>
      </c>
      <c r="H30" s="45">
        <f t="shared" si="1"/>
        <v>0.4372767249793112</v>
      </c>
      <c r="I30" s="61">
        <f t="shared" si="2"/>
        <v>-623.32481021</v>
      </c>
      <c r="J30" s="63">
        <f t="shared" si="3"/>
        <v>-100</v>
      </c>
    </row>
    <row r="31" spans="1:10" ht="24" thickBot="1">
      <c r="A31" s="21">
        <v>25</v>
      </c>
      <c r="B31" s="32" t="s">
        <v>23</v>
      </c>
      <c r="C31" s="5"/>
      <c r="D31" s="42"/>
      <c r="E31" s="41">
        <f t="shared" si="0"/>
        <v>0</v>
      </c>
      <c r="F31" s="53"/>
      <c r="G31" s="58"/>
      <c r="H31" s="45">
        <f t="shared" si="1"/>
        <v>0</v>
      </c>
      <c r="I31" s="61">
        <f t="shared" si="2"/>
        <v>0</v>
      </c>
      <c r="J31" s="63">
        <v>0</v>
      </c>
    </row>
    <row r="32" spans="1:11" ht="24" thickBot="1">
      <c r="A32" s="70" t="s">
        <v>11</v>
      </c>
      <c r="B32" s="71"/>
      <c r="C32" s="6">
        <f aca="true" t="shared" si="4" ref="C32:I32">SUM(C7:C31)</f>
        <v>1376</v>
      </c>
      <c r="D32" s="37">
        <f t="shared" si="4"/>
        <v>143656.43800259006</v>
      </c>
      <c r="E32" s="38">
        <f t="shared" si="4"/>
        <v>99.99999999999999</v>
      </c>
      <c r="F32" s="6">
        <f t="shared" si="4"/>
        <v>1392</v>
      </c>
      <c r="G32" s="59">
        <f t="shared" si="4"/>
        <v>142546.99017870007</v>
      </c>
      <c r="H32" s="60">
        <f t="shared" si="4"/>
        <v>99.99999999999994</v>
      </c>
      <c r="I32" s="43">
        <f t="shared" si="4"/>
        <v>1109.447823889996</v>
      </c>
      <c r="J32" s="66">
        <f>(D32-G32)/G32*100</f>
        <v>0.7783032265354475</v>
      </c>
      <c r="K32" s="7"/>
    </row>
    <row r="33" spans="1:11" ht="5.25" customHeight="1">
      <c r="A33" s="22"/>
      <c r="B33" s="34"/>
      <c r="C33" s="23"/>
      <c r="D33" s="24"/>
      <c r="E33" s="25"/>
      <c r="F33" s="23"/>
      <c r="G33" s="24"/>
      <c r="H33" s="25"/>
      <c r="I33" s="26"/>
      <c r="J33" s="27"/>
      <c r="K33" s="7"/>
    </row>
    <row r="34" spans="2:10" ht="21">
      <c r="B34" s="35" t="s">
        <v>45</v>
      </c>
      <c r="H34" s="17" t="s">
        <v>10</v>
      </c>
      <c r="J34" s="18"/>
    </row>
    <row r="35" spans="2:10" ht="21">
      <c r="B35" s="36" t="s">
        <v>13</v>
      </c>
      <c r="H35" s="17" t="s">
        <v>9</v>
      </c>
      <c r="J35" s="18"/>
    </row>
    <row r="36" spans="2:10" ht="21">
      <c r="B36" s="67" t="s">
        <v>47</v>
      </c>
      <c r="H36" s="17"/>
      <c r="J36" s="18"/>
    </row>
    <row r="37" spans="2:10" ht="21">
      <c r="B37" s="67" t="s">
        <v>48</v>
      </c>
      <c r="H37" s="17"/>
      <c r="J37" s="18"/>
    </row>
    <row r="39" ht="21">
      <c r="F39" s="64"/>
    </row>
    <row r="40" ht="21" hidden="1"/>
  </sheetData>
  <mergeCells count="6">
    <mergeCell ref="A32:B32"/>
    <mergeCell ref="F4:H4"/>
    <mergeCell ref="A1:J1"/>
    <mergeCell ref="A2:J2"/>
    <mergeCell ref="C4:E4"/>
    <mergeCell ref="I4:J4"/>
  </mergeCells>
  <printOptions horizontalCentered="1" verticalCentered="1"/>
  <pageMargins left="0.1968503937007874" right="0.1968503937007874" top="0.17" bottom="0.07874015748031496" header="0.4330708661417323" footer="0.15748031496062992"/>
  <pageSetup horizontalDpi="1200" verticalDpi="1200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zoomScale="75" zoomScaleNormal="75" workbookViewId="0" topLeftCell="A13">
      <selection activeCell="B28" sqref="B28"/>
    </sheetView>
  </sheetViews>
  <sheetFormatPr defaultColWidth="9.140625" defaultRowHeight="21.75"/>
  <cols>
    <col min="1" max="1" width="6.57421875" style="1" customWidth="1"/>
    <col min="2" max="2" width="55.7109375" style="35" customWidth="1"/>
    <col min="3" max="3" width="11.00390625" style="1" customWidth="1"/>
    <col min="4" max="4" width="14.8515625" style="1" customWidth="1"/>
    <col min="5" max="5" width="10.421875" style="1" customWidth="1"/>
    <col min="6" max="6" width="10.7109375" style="1" customWidth="1"/>
    <col min="7" max="7" width="14.7109375" style="1" customWidth="1"/>
    <col min="8" max="8" width="10.00390625" style="1" customWidth="1"/>
    <col min="9" max="9" width="15.00390625" style="1" customWidth="1"/>
    <col min="10" max="10" width="10.28125" style="1" customWidth="1"/>
    <col min="11" max="16384" width="9.140625" style="1" customWidth="1"/>
  </cols>
  <sheetData>
    <row r="1" spans="1:10" ht="23.25">
      <c r="A1" s="75" t="s">
        <v>12</v>
      </c>
      <c r="B1" s="76"/>
      <c r="C1" s="76"/>
      <c r="D1" s="76"/>
      <c r="E1" s="76"/>
      <c r="F1" s="76"/>
      <c r="G1" s="76"/>
      <c r="H1" s="76"/>
      <c r="I1" s="76"/>
      <c r="J1" s="76"/>
    </row>
    <row r="2" spans="1:10" ht="23.25">
      <c r="A2" s="75" t="s">
        <v>53</v>
      </c>
      <c r="B2" s="76"/>
      <c r="C2" s="76"/>
      <c r="D2" s="76"/>
      <c r="E2" s="76"/>
      <c r="F2" s="76"/>
      <c r="G2" s="76"/>
      <c r="H2" s="76"/>
      <c r="I2" s="76"/>
      <c r="J2" s="76"/>
    </row>
    <row r="3" spans="1:10" ht="5.25" customHeight="1" thickBot="1">
      <c r="A3" s="19"/>
      <c r="B3" s="28"/>
      <c r="C3" s="2"/>
      <c r="D3" s="19"/>
      <c r="E3" s="19"/>
      <c r="F3" s="2"/>
      <c r="G3" s="2"/>
      <c r="H3" s="2"/>
      <c r="I3" s="19"/>
      <c r="J3" s="19"/>
    </row>
    <row r="4" spans="1:10" ht="22.5" customHeight="1" thickBot="1">
      <c r="A4" s="8"/>
      <c r="B4" s="29"/>
      <c r="C4" s="72" t="s">
        <v>49</v>
      </c>
      <c r="D4" s="73"/>
      <c r="E4" s="74"/>
      <c r="F4" s="72" t="s">
        <v>44</v>
      </c>
      <c r="G4" s="73"/>
      <c r="H4" s="74"/>
      <c r="I4" s="77" t="s">
        <v>8</v>
      </c>
      <c r="J4" s="74"/>
    </row>
    <row r="5" spans="1:10" ht="23.25">
      <c r="A5" s="9" t="s">
        <v>0</v>
      </c>
      <c r="B5" s="30" t="s">
        <v>1</v>
      </c>
      <c r="C5" s="10" t="s">
        <v>2</v>
      </c>
      <c r="D5" s="11" t="s">
        <v>5</v>
      </c>
      <c r="E5" s="12" t="s">
        <v>3</v>
      </c>
      <c r="F5" s="10" t="s">
        <v>2</v>
      </c>
      <c r="G5" s="11" t="s">
        <v>5</v>
      </c>
      <c r="H5" s="56" t="s">
        <v>3</v>
      </c>
      <c r="I5" s="10" t="s">
        <v>5</v>
      </c>
      <c r="J5" s="56" t="s">
        <v>7</v>
      </c>
    </row>
    <row r="6" spans="1:10" ht="24" thickBot="1">
      <c r="A6" s="13"/>
      <c r="B6" s="31"/>
      <c r="C6" s="14" t="s">
        <v>4</v>
      </c>
      <c r="D6" s="15" t="s">
        <v>6</v>
      </c>
      <c r="E6" s="16"/>
      <c r="F6" s="14" t="s">
        <v>4</v>
      </c>
      <c r="G6" s="15" t="s">
        <v>6</v>
      </c>
      <c r="H6" s="57"/>
      <c r="I6" s="14" t="s">
        <v>6</v>
      </c>
      <c r="J6" s="57"/>
    </row>
    <row r="7" spans="1:10" ht="23.25">
      <c r="A7" s="3">
        <v>1</v>
      </c>
      <c r="B7" s="32" t="s">
        <v>22</v>
      </c>
      <c r="C7" s="39">
        <v>211</v>
      </c>
      <c r="D7" s="20">
        <f>34220848929.37/1000000</f>
        <v>34220.84892937</v>
      </c>
      <c r="E7" s="41">
        <f aca="true" t="shared" si="0" ref="E7:E29">(D7/$D$30)*100</f>
        <v>25.79778460345444</v>
      </c>
      <c r="F7" s="39">
        <v>210</v>
      </c>
      <c r="G7" s="20">
        <v>42309.87447314</v>
      </c>
      <c r="H7" s="44">
        <f aca="true" t="shared" si="1" ref="H7:H29">(G7/$G$30)*100</f>
        <v>29.4521255444028</v>
      </c>
      <c r="I7" s="61">
        <f aca="true" t="shared" si="2" ref="I7:I29">(D7-G7)</f>
        <v>-8089.025543770003</v>
      </c>
      <c r="J7" s="62">
        <f aca="true" t="shared" si="3" ref="J7:J28">(D7-G7)/G7*100</f>
        <v>-19.1185288174401</v>
      </c>
    </row>
    <row r="8" spans="1:10" ht="23.25">
      <c r="A8" s="3">
        <v>2</v>
      </c>
      <c r="B8" s="32" t="s">
        <v>19</v>
      </c>
      <c r="C8" s="4">
        <v>118</v>
      </c>
      <c r="D8" s="20">
        <f>20597700114.74/1000000</f>
        <v>20597.70011474</v>
      </c>
      <c r="E8" s="41">
        <f t="shared" si="0"/>
        <v>15.527815571827015</v>
      </c>
      <c r="F8" s="4">
        <v>117</v>
      </c>
      <c r="G8" s="20">
        <v>20687.12627108</v>
      </c>
      <c r="H8" s="41">
        <f t="shared" si="1"/>
        <v>14.40041710536288</v>
      </c>
      <c r="I8" s="61">
        <f t="shared" si="2"/>
        <v>-89.42615633999958</v>
      </c>
      <c r="J8" s="63">
        <f t="shared" si="3"/>
        <v>-0.4322792599038502</v>
      </c>
    </row>
    <row r="9" spans="1:10" ht="23.25">
      <c r="A9" s="3">
        <v>3</v>
      </c>
      <c r="B9" s="32" t="s">
        <v>14</v>
      </c>
      <c r="C9" s="39">
        <v>37</v>
      </c>
      <c r="D9" s="20">
        <f>(739864399.09+16477229566.59)/1000000</f>
        <v>17217.09396568</v>
      </c>
      <c r="E9" s="41">
        <f t="shared" si="0"/>
        <v>12.979306344526293</v>
      </c>
      <c r="F9" s="39">
        <v>39</v>
      </c>
      <c r="G9" s="20">
        <v>17108.19555262</v>
      </c>
      <c r="H9" s="41">
        <f t="shared" si="1"/>
        <v>11.909104660044227</v>
      </c>
      <c r="I9" s="61">
        <f t="shared" si="2"/>
        <v>108.89841306000017</v>
      </c>
      <c r="J9" s="63">
        <f t="shared" si="3"/>
        <v>0.6365277549292634</v>
      </c>
    </row>
    <row r="10" spans="1:10" ht="23.25">
      <c r="A10" s="3">
        <v>4</v>
      </c>
      <c r="B10" s="32" t="s">
        <v>17</v>
      </c>
      <c r="C10" s="39">
        <v>50</v>
      </c>
      <c r="D10" s="20">
        <f>15498807044.82/1000000</f>
        <v>15498.80704482</v>
      </c>
      <c r="E10" s="41">
        <f t="shared" si="0"/>
        <v>11.683955783154486</v>
      </c>
      <c r="F10" s="39">
        <v>49</v>
      </c>
      <c r="G10" s="20">
        <v>15429.12929573</v>
      </c>
      <c r="H10" s="41">
        <f t="shared" si="1"/>
        <v>10.740297831588878</v>
      </c>
      <c r="I10" s="61">
        <f t="shared" si="2"/>
        <v>69.67774909000036</v>
      </c>
      <c r="J10" s="63">
        <f t="shared" si="3"/>
        <v>0.4515987114663925</v>
      </c>
    </row>
    <row r="11" spans="1:10" ht="23.25">
      <c r="A11" s="3">
        <v>5</v>
      </c>
      <c r="B11" s="32" t="s">
        <v>30</v>
      </c>
      <c r="C11" s="4">
        <v>402</v>
      </c>
      <c r="D11" s="20">
        <f>7866.13</f>
        <v>7866.13</v>
      </c>
      <c r="E11" s="41">
        <f t="shared" si="0"/>
        <v>5.929973503042111</v>
      </c>
      <c r="F11" s="4">
        <v>410</v>
      </c>
      <c r="G11" s="20">
        <v>7872.02</v>
      </c>
      <c r="H11" s="41">
        <f t="shared" si="1"/>
        <v>5.47975441230004</v>
      </c>
      <c r="I11" s="61">
        <f t="shared" si="2"/>
        <v>-5.890000000000327</v>
      </c>
      <c r="J11" s="63">
        <f t="shared" si="3"/>
        <v>-0.07482196437509467</v>
      </c>
    </row>
    <row r="12" spans="1:10" ht="23.25">
      <c r="A12" s="3">
        <v>6</v>
      </c>
      <c r="B12" s="32" t="s">
        <v>21</v>
      </c>
      <c r="C12" s="4">
        <v>10</v>
      </c>
      <c r="D12" s="20">
        <f>7109218.16/1000</f>
        <v>7109.21816</v>
      </c>
      <c r="E12" s="41">
        <f t="shared" si="0"/>
        <v>5.359366717324248</v>
      </c>
      <c r="F12" s="4">
        <v>11</v>
      </c>
      <c r="G12" s="20">
        <v>7157.068</v>
      </c>
      <c r="H12" s="41">
        <f t="shared" si="1"/>
        <v>4.982072575035559</v>
      </c>
      <c r="I12" s="61">
        <f t="shared" si="2"/>
        <v>-47.84983999999986</v>
      </c>
      <c r="J12" s="63">
        <f t="shared" si="3"/>
        <v>-0.6685676313261221</v>
      </c>
    </row>
    <row r="13" spans="1:10" ht="23.25">
      <c r="A13" s="3">
        <v>7</v>
      </c>
      <c r="B13" s="33" t="s">
        <v>26</v>
      </c>
      <c r="C13" s="5">
        <v>20</v>
      </c>
      <c r="D13" s="20">
        <f>5825716396.49/1000000</f>
        <v>5825.71639649</v>
      </c>
      <c r="E13" s="41">
        <f t="shared" si="0"/>
        <v>4.391783998919883</v>
      </c>
      <c r="F13" s="5">
        <v>20</v>
      </c>
      <c r="G13" s="20">
        <v>5542.26148671</v>
      </c>
      <c r="H13" s="41">
        <f t="shared" si="1"/>
        <v>3.8579972911552183</v>
      </c>
      <c r="I13" s="61">
        <f t="shared" si="2"/>
        <v>283.45490978</v>
      </c>
      <c r="J13" s="63">
        <f t="shared" si="3"/>
        <v>5.114426853725817</v>
      </c>
    </row>
    <row r="14" spans="1:10" ht="23.25">
      <c r="A14" s="3">
        <v>8</v>
      </c>
      <c r="B14" s="33" t="s">
        <v>20</v>
      </c>
      <c r="C14" s="5">
        <v>111</v>
      </c>
      <c r="D14" s="20">
        <f>4397</f>
        <v>4397</v>
      </c>
      <c r="E14" s="41">
        <f t="shared" si="0"/>
        <v>3.314729542084374</v>
      </c>
      <c r="F14" s="5">
        <v>121</v>
      </c>
      <c r="G14" s="20">
        <v>7790.01</v>
      </c>
      <c r="H14" s="41">
        <f t="shared" si="1"/>
        <v>5.422666821141388</v>
      </c>
      <c r="I14" s="61">
        <f t="shared" si="2"/>
        <v>-3393.01</v>
      </c>
      <c r="J14" s="63">
        <f t="shared" si="3"/>
        <v>-43.555913278673586</v>
      </c>
    </row>
    <row r="15" spans="1:10" ht="23.25">
      <c r="A15" s="3">
        <v>9</v>
      </c>
      <c r="B15" s="32" t="s">
        <v>31</v>
      </c>
      <c r="C15" s="4">
        <v>53</v>
      </c>
      <c r="D15" s="20">
        <f>3777419803.44/1000000</f>
        <v>3777.41980344</v>
      </c>
      <c r="E15" s="41">
        <f t="shared" si="0"/>
        <v>2.847651811534482</v>
      </c>
      <c r="F15" s="4">
        <v>55</v>
      </c>
      <c r="G15" s="20">
        <v>3938.0172196999997</v>
      </c>
      <c r="H15" s="41">
        <f t="shared" si="1"/>
        <v>2.7412744423114535</v>
      </c>
      <c r="I15" s="61">
        <f t="shared" si="2"/>
        <v>-160.5974162599996</v>
      </c>
      <c r="J15" s="63">
        <f t="shared" si="3"/>
        <v>-4.078128847598944</v>
      </c>
    </row>
    <row r="16" spans="1:10" ht="23.25">
      <c r="A16" s="3">
        <v>10</v>
      </c>
      <c r="B16" s="32" t="s">
        <v>24</v>
      </c>
      <c r="C16" s="39">
        <v>69</v>
      </c>
      <c r="D16" s="20">
        <v>2927.96</v>
      </c>
      <c r="E16" s="41">
        <f t="shared" si="0"/>
        <v>2.2072766681922595</v>
      </c>
      <c r="F16" s="39">
        <v>69</v>
      </c>
      <c r="G16" s="20">
        <v>2970.58</v>
      </c>
      <c r="H16" s="41">
        <f t="shared" si="1"/>
        <v>2.067836319278946</v>
      </c>
      <c r="I16" s="61">
        <f t="shared" si="2"/>
        <v>-42.61999999999989</v>
      </c>
      <c r="J16" s="63">
        <f t="shared" si="3"/>
        <v>-1.4347366507550676</v>
      </c>
    </row>
    <row r="17" spans="1:10" ht="23.25">
      <c r="A17" s="3">
        <v>11</v>
      </c>
      <c r="B17" s="32" t="s">
        <v>57</v>
      </c>
      <c r="C17" s="54">
        <v>2</v>
      </c>
      <c r="D17" s="40">
        <f>2848035297.24/1000000</f>
        <v>2848.0352972399996</v>
      </c>
      <c r="E17" s="41">
        <f t="shared" si="0"/>
        <v>2.1470245023107752</v>
      </c>
      <c r="F17" s="54">
        <v>2</v>
      </c>
      <c r="G17" s="40">
        <v>2711.8409957</v>
      </c>
      <c r="H17" s="41">
        <f t="shared" si="1"/>
        <v>1.8877267412485244</v>
      </c>
      <c r="I17" s="61">
        <f t="shared" si="2"/>
        <v>136.19430153999974</v>
      </c>
      <c r="J17" s="63">
        <f t="shared" si="3"/>
        <v>5.022208225185573</v>
      </c>
    </row>
    <row r="18" spans="1:10" ht="23.25">
      <c r="A18" s="3">
        <v>12</v>
      </c>
      <c r="B18" s="32" t="s">
        <v>46</v>
      </c>
      <c r="C18" s="39">
        <v>52</v>
      </c>
      <c r="D18" s="20">
        <f>2160705038.08/1000000</f>
        <v>2160.70503808</v>
      </c>
      <c r="E18" s="41">
        <f t="shared" si="0"/>
        <v>1.6288725998304114</v>
      </c>
      <c r="F18" s="39">
        <v>55</v>
      </c>
      <c r="G18" s="20">
        <v>2302.45666198</v>
      </c>
      <c r="H18" s="41">
        <f t="shared" si="1"/>
        <v>1.6027521592443268</v>
      </c>
      <c r="I18" s="61">
        <f t="shared" si="2"/>
        <v>-141.7516238999997</v>
      </c>
      <c r="J18" s="63">
        <f t="shared" si="3"/>
        <v>-6.156538198556156</v>
      </c>
    </row>
    <row r="19" spans="1:10" ht="23.25">
      <c r="A19" s="3">
        <v>13</v>
      </c>
      <c r="B19" s="32" t="s">
        <v>36</v>
      </c>
      <c r="C19" s="4">
        <v>56</v>
      </c>
      <c r="D19" s="20">
        <v>2087.63</v>
      </c>
      <c r="E19" s="41">
        <f t="shared" si="0"/>
        <v>1.573784133259405</v>
      </c>
      <c r="F19" s="4">
        <v>55</v>
      </c>
      <c r="G19" s="20">
        <v>2013.07</v>
      </c>
      <c r="H19" s="41">
        <f t="shared" si="1"/>
        <v>1.4013085859498378</v>
      </c>
      <c r="I19" s="61">
        <f t="shared" si="2"/>
        <v>74.56000000000017</v>
      </c>
      <c r="J19" s="63">
        <f t="shared" si="3"/>
        <v>3.703795695132319</v>
      </c>
    </row>
    <row r="20" spans="1:10" ht="23.25">
      <c r="A20" s="3">
        <v>14</v>
      </c>
      <c r="B20" s="32" t="s">
        <v>25</v>
      </c>
      <c r="C20" s="4">
        <v>3</v>
      </c>
      <c r="D20" s="20">
        <f>1315150634.06/1000000</f>
        <v>1315.15063406</v>
      </c>
      <c r="E20" s="41">
        <f t="shared" si="0"/>
        <v>0.9914415872207591</v>
      </c>
      <c r="F20" s="4">
        <v>3</v>
      </c>
      <c r="G20" s="20">
        <v>1313.28085641</v>
      </c>
      <c r="H20" s="41">
        <f t="shared" si="1"/>
        <v>0.9141816925645353</v>
      </c>
      <c r="I20" s="61">
        <f t="shared" si="2"/>
        <v>1.8697776499998326</v>
      </c>
      <c r="J20" s="63">
        <f t="shared" si="3"/>
        <v>0.14237454546555095</v>
      </c>
    </row>
    <row r="21" spans="1:10" ht="23.25">
      <c r="A21" s="46">
        <v>15</v>
      </c>
      <c r="B21" s="32" t="s">
        <v>33</v>
      </c>
      <c r="C21" s="4">
        <v>1</v>
      </c>
      <c r="D21" s="20">
        <f>1201428871.85/1000000</f>
        <v>1201.42887185</v>
      </c>
      <c r="E21" s="41">
        <f t="shared" si="0"/>
        <v>0.9057111153591759</v>
      </c>
      <c r="F21" s="4">
        <v>1</v>
      </c>
      <c r="G21" s="20">
        <v>1217.23921681</v>
      </c>
      <c r="H21" s="41">
        <f t="shared" si="1"/>
        <v>0.8473266034816022</v>
      </c>
      <c r="I21" s="61">
        <f t="shared" si="2"/>
        <v>-15.810344960000066</v>
      </c>
      <c r="J21" s="63">
        <f t="shared" si="3"/>
        <v>-1.2988691739191571</v>
      </c>
    </row>
    <row r="22" spans="1:10" ht="23.25">
      <c r="A22" s="3">
        <v>16</v>
      </c>
      <c r="B22" s="32" t="s">
        <v>32</v>
      </c>
      <c r="C22" s="4">
        <v>37</v>
      </c>
      <c r="D22" s="20">
        <f>997514610.17/1000000</f>
        <v>997.51461017</v>
      </c>
      <c r="E22" s="41">
        <f t="shared" si="0"/>
        <v>0.7519879797569428</v>
      </c>
      <c r="F22" s="4">
        <v>35</v>
      </c>
      <c r="G22" s="20">
        <v>963.18690478</v>
      </c>
      <c r="H22" s="41">
        <f t="shared" si="1"/>
        <v>0.6704794565229538</v>
      </c>
      <c r="I22" s="61">
        <f t="shared" si="2"/>
        <v>34.327705390000006</v>
      </c>
      <c r="J22" s="63">
        <f t="shared" si="3"/>
        <v>3.5639713558855686</v>
      </c>
    </row>
    <row r="23" spans="1:10" ht="23.25">
      <c r="A23" s="3">
        <v>17</v>
      </c>
      <c r="B23" s="33" t="s">
        <v>52</v>
      </c>
      <c r="C23" s="39">
        <v>11</v>
      </c>
      <c r="D23" s="40">
        <f>787302859.1/1000000</f>
        <v>787.3028591</v>
      </c>
      <c r="E23" s="41">
        <f t="shared" si="0"/>
        <v>0.5935174086027432</v>
      </c>
      <c r="F23" s="39">
        <v>12</v>
      </c>
      <c r="G23" s="40">
        <v>792.91911572</v>
      </c>
      <c r="H23" s="41">
        <f t="shared" si="1"/>
        <v>0.5519551554700973</v>
      </c>
      <c r="I23" s="61">
        <f t="shared" si="2"/>
        <v>-5.616256620000058</v>
      </c>
      <c r="J23" s="63">
        <f t="shared" si="3"/>
        <v>-0.708301327166301</v>
      </c>
    </row>
    <row r="24" spans="1:10" ht="23.25">
      <c r="A24" s="3">
        <v>18</v>
      </c>
      <c r="B24" s="32" t="s">
        <v>51</v>
      </c>
      <c r="C24" s="4">
        <v>28</v>
      </c>
      <c r="D24" s="20">
        <f>764939896.33/1000000</f>
        <v>764.93989633</v>
      </c>
      <c r="E24" s="41">
        <f t="shared" si="0"/>
        <v>0.5766588292663202</v>
      </c>
      <c r="F24" s="4">
        <v>18</v>
      </c>
      <c r="G24" s="20">
        <v>524.6738535</v>
      </c>
      <c r="H24" s="41">
        <f t="shared" si="1"/>
        <v>0.36522822143936234</v>
      </c>
      <c r="I24" s="61">
        <f t="shared" si="2"/>
        <v>240.26604283000006</v>
      </c>
      <c r="J24" s="63">
        <f t="shared" si="3"/>
        <v>45.793408843842855</v>
      </c>
    </row>
    <row r="25" spans="1:10" ht="23.25">
      <c r="A25" s="21">
        <v>19</v>
      </c>
      <c r="B25" s="32" t="s">
        <v>16</v>
      </c>
      <c r="C25" s="4">
        <v>88</v>
      </c>
      <c r="D25" s="20">
        <f>630118546.52/1000000</f>
        <v>630.11854652</v>
      </c>
      <c r="E25" s="41">
        <f t="shared" si="0"/>
        <v>0.47502218812033453</v>
      </c>
      <c r="F25" s="4">
        <v>86</v>
      </c>
      <c r="G25" s="20">
        <v>630.5014089</v>
      </c>
      <c r="H25" s="41">
        <f t="shared" si="1"/>
        <v>0.438895337839737</v>
      </c>
      <c r="I25" s="61">
        <f t="shared" si="2"/>
        <v>-0.38286238000000594</v>
      </c>
      <c r="J25" s="63">
        <f t="shared" si="3"/>
        <v>-0.06072347731434323</v>
      </c>
    </row>
    <row r="26" spans="1:10" ht="23.25">
      <c r="A26" s="21">
        <v>20</v>
      </c>
      <c r="B26" s="32" t="s">
        <v>34</v>
      </c>
      <c r="C26" s="54">
        <v>2</v>
      </c>
      <c r="D26" s="40">
        <f>210090811.28/1000000</f>
        <v>210.09081128</v>
      </c>
      <c r="E26" s="41">
        <f t="shared" si="0"/>
        <v>0.15837939928821676</v>
      </c>
      <c r="F26" s="54">
        <v>2</v>
      </c>
      <c r="G26" s="40">
        <v>181.97353253</v>
      </c>
      <c r="H26" s="41">
        <f t="shared" si="1"/>
        <v>0.12667273048126051</v>
      </c>
      <c r="I26" s="61">
        <f t="shared" si="2"/>
        <v>28.117278749999997</v>
      </c>
      <c r="J26" s="63">
        <f t="shared" si="3"/>
        <v>15.451301273917187</v>
      </c>
    </row>
    <row r="27" spans="1:10" ht="23.25">
      <c r="A27" s="21">
        <v>21</v>
      </c>
      <c r="B27" s="32" t="s">
        <v>35</v>
      </c>
      <c r="C27" s="54">
        <v>5</v>
      </c>
      <c r="D27" s="20">
        <f>203696479.65/1000000</f>
        <v>203.69647965000001</v>
      </c>
      <c r="E27" s="41">
        <f t="shared" si="0"/>
        <v>0.15355895808834288</v>
      </c>
      <c r="F27" s="54">
        <v>4</v>
      </c>
      <c r="G27" s="20">
        <v>194.87893008</v>
      </c>
      <c r="H27" s="45">
        <f t="shared" si="1"/>
        <v>0.13565624540717516</v>
      </c>
      <c r="I27" s="61">
        <f t="shared" si="2"/>
        <v>8.817549570000011</v>
      </c>
      <c r="J27" s="63">
        <f t="shared" si="3"/>
        <v>4.524629505293521</v>
      </c>
    </row>
    <row r="28" spans="1:10" ht="23.25">
      <c r="A28" s="21">
        <v>22</v>
      </c>
      <c r="B28" s="32" t="s">
        <v>72</v>
      </c>
      <c r="C28" s="54">
        <v>2</v>
      </c>
      <c r="D28" s="20">
        <f>5832310.23/1000000</f>
        <v>5.83231023</v>
      </c>
      <c r="E28" s="41">
        <f t="shared" si="0"/>
        <v>0.00439675483693016</v>
      </c>
      <c r="F28" s="54">
        <v>2</v>
      </c>
      <c r="G28" s="20">
        <v>6.1342272</v>
      </c>
      <c r="H28" s="45">
        <f t="shared" si="1"/>
        <v>0.004270067729153498</v>
      </c>
      <c r="I28" s="61">
        <f t="shared" si="2"/>
        <v>-0.30191696999999973</v>
      </c>
      <c r="J28" s="63">
        <f t="shared" si="3"/>
        <v>-4.921841988506714</v>
      </c>
    </row>
    <row r="29" spans="1:10" ht="24" thickBot="1">
      <c r="A29" s="21">
        <v>23</v>
      </c>
      <c r="B29" s="32" t="s">
        <v>23</v>
      </c>
      <c r="C29" s="5">
        <v>0</v>
      </c>
      <c r="D29" s="42">
        <v>0</v>
      </c>
      <c r="E29" s="41">
        <f t="shared" si="0"/>
        <v>0</v>
      </c>
      <c r="F29" s="53">
        <v>0</v>
      </c>
      <c r="G29" s="58">
        <v>0</v>
      </c>
      <c r="H29" s="45">
        <f t="shared" si="1"/>
        <v>0</v>
      </c>
      <c r="I29" s="61">
        <f t="shared" si="2"/>
        <v>0</v>
      </c>
      <c r="J29" s="63">
        <v>0</v>
      </c>
    </row>
    <row r="30" spans="1:11" ht="24" thickBot="1">
      <c r="A30" s="70" t="s">
        <v>11</v>
      </c>
      <c r="B30" s="71"/>
      <c r="C30" s="6">
        <f aca="true" t="shared" si="4" ref="C30:I30">SUM(C7:C29)</f>
        <v>1368</v>
      </c>
      <c r="D30" s="37">
        <f t="shared" si="4"/>
        <v>132650.33976905007</v>
      </c>
      <c r="E30" s="38">
        <f t="shared" si="4"/>
        <v>99.99999999999997</v>
      </c>
      <c r="F30" s="6">
        <f t="shared" si="4"/>
        <v>1376</v>
      </c>
      <c r="G30" s="59">
        <f t="shared" si="4"/>
        <v>143656.43800259006</v>
      </c>
      <c r="H30" s="60">
        <f t="shared" si="4"/>
        <v>99.99999999999999</v>
      </c>
      <c r="I30" s="43">
        <f t="shared" si="4"/>
        <v>-11006.098233540004</v>
      </c>
      <c r="J30" s="66">
        <f>(D30-G30)/G30*100</f>
        <v>-7.661402709526707</v>
      </c>
      <c r="K30" s="7"/>
    </row>
    <row r="31" spans="1:11" ht="5.25" customHeight="1">
      <c r="A31" s="22"/>
      <c r="B31" s="34"/>
      <c r="C31" s="23"/>
      <c r="D31" s="24"/>
      <c r="E31" s="25"/>
      <c r="F31" s="23"/>
      <c r="G31" s="24"/>
      <c r="H31" s="25"/>
      <c r="I31" s="26"/>
      <c r="J31" s="27"/>
      <c r="K31" s="7"/>
    </row>
    <row r="32" spans="2:10" ht="21">
      <c r="B32" s="35" t="s">
        <v>50</v>
      </c>
      <c r="H32" s="17" t="s">
        <v>10</v>
      </c>
      <c r="J32" s="18"/>
    </row>
    <row r="33" spans="2:10" ht="21">
      <c r="B33" s="68" t="s">
        <v>54</v>
      </c>
      <c r="H33" s="17" t="s">
        <v>9</v>
      </c>
      <c r="J33" s="18"/>
    </row>
    <row r="34" spans="2:10" ht="21">
      <c r="B34" s="67"/>
      <c r="H34" s="17"/>
      <c r="J34" s="18"/>
    </row>
    <row r="35" spans="2:10" ht="21">
      <c r="B35" s="67"/>
      <c r="H35" s="17"/>
      <c r="J35" s="18"/>
    </row>
    <row r="37" ht="21">
      <c r="F37" s="64"/>
    </row>
    <row r="38" ht="21" hidden="1"/>
  </sheetData>
  <mergeCells count="6">
    <mergeCell ref="A30:B30"/>
    <mergeCell ref="F4:H4"/>
    <mergeCell ref="A1:J1"/>
    <mergeCell ref="A2:J2"/>
    <mergeCell ref="C4:E4"/>
    <mergeCell ref="I4:J4"/>
  </mergeCells>
  <printOptions horizontalCentered="1" verticalCentered="1"/>
  <pageMargins left="0.1968503937007874" right="0.1968503937007874" top="0.17" bottom="0.17" header="0.25" footer="0.15748031496062992"/>
  <pageSetup fitToHeight="1" fitToWidth="1" horizontalDpi="1200" verticalDpi="1200" orientation="landscape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zoomScale="75" zoomScaleNormal="75" workbookViewId="0" topLeftCell="A10">
      <selection activeCell="B28" sqref="B28"/>
    </sheetView>
  </sheetViews>
  <sheetFormatPr defaultColWidth="9.140625" defaultRowHeight="21.75"/>
  <cols>
    <col min="1" max="1" width="6.57421875" style="1" customWidth="1"/>
    <col min="2" max="2" width="55.7109375" style="35" customWidth="1"/>
    <col min="3" max="3" width="11.00390625" style="1" customWidth="1"/>
    <col min="4" max="4" width="14.8515625" style="1" customWidth="1"/>
    <col min="5" max="5" width="10.421875" style="1" customWidth="1"/>
    <col min="6" max="6" width="10.7109375" style="1" customWidth="1"/>
    <col min="7" max="7" width="14.7109375" style="1" customWidth="1"/>
    <col min="8" max="8" width="10.00390625" style="1" customWidth="1"/>
    <col min="9" max="9" width="15.00390625" style="1" customWidth="1"/>
    <col min="10" max="10" width="10.28125" style="1" customWidth="1"/>
    <col min="11" max="16384" width="9.140625" style="1" customWidth="1"/>
  </cols>
  <sheetData>
    <row r="1" spans="1:10" ht="23.25">
      <c r="A1" s="75" t="s">
        <v>12</v>
      </c>
      <c r="B1" s="76"/>
      <c r="C1" s="76"/>
      <c r="D1" s="76"/>
      <c r="E1" s="76"/>
      <c r="F1" s="76"/>
      <c r="G1" s="76"/>
      <c r="H1" s="76"/>
      <c r="I1" s="76"/>
      <c r="J1" s="76"/>
    </row>
    <row r="2" spans="1:10" ht="23.25">
      <c r="A2" s="75" t="s">
        <v>56</v>
      </c>
      <c r="B2" s="76"/>
      <c r="C2" s="76"/>
      <c r="D2" s="76"/>
      <c r="E2" s="76"/>
      <c r="F2" s="76"/>
      <c r="G2" s="76"/>
      <c r="H2" s="76"/>
      <c r="I2" s="76"/>
      <c r="J2" s="76"/>
    </row>
    <row r="3" spans="1:10" ht="5.25" customHeight="1" thickBot="1">
      <c r="A3" s="19"/>
      <c r="B3" s="28"/>
      <c r="C3" s="2"/>
      <c r="D3" s="19"/>
      <c r="E3" s="19"/>
      <c r="F3" s="2"/>
      <c r="G3" s="2"/>
      <c r="H3" s="2"/>
      <c r="I3" s="19"/>
      <c r="J3" s="19"/>
    </row>
    <row r="4" spans="1:10" ht="22.5" customHeight="1" thickBot="1">
      <c r="A4" s="8"/>
      <c r="B4" s="29"/>
      <c r="C4" s="72" t="s">
        <v>55</v>
      </c>
      <c r="D4" s="73"/>
      <c r="E4" s="74"/>
      <c r="F4" s="72" t="s">
        <v>49</v>
      </c>
      <c r="G4" s="73"/>
      <c r="H4" s="74"/>
      <c r="I4" s="77" t="s">
        <v>8</v>
      </c>
      <c r="J4" s="74"/>
    </row>
    <row r="5" spans="1:10" ht="23.25">
      <c r="A5" s="9" t="s">
        <v>0</v>
      </c>
      <c r="B5" s="30" t="s">
        <v>1</v>
      </c>
      <c r="C5" s="10" t="s">
        <v>2</v>
      </c>
      <c r="D5" s="11" t="s">
        <v>5</v>
      </c>
      <c r="E5" s="12" t="s">
        <v>3</v>
      </c>
      <c r="F5" s="10" t="s">
        <v>2</v>
      </c>
      <c r="G5" s="11" t="s">
        <v>5</v>
      </c>
      <c r="H5" s="56" t="s">
        <v>3</v>
      </c>
      <c r="I5" s="10" t="s">
        <v>5</v>
      </c>
      <c r="J5" s="56" t="s">
        <v>7</v>
      </c>
    </row>
    <row r="6" spans="1:10" ht="24" thickBot="1">
      <c r="A6" s="13"/>
      <c r="B6" s="31"/>
      <c r="C6" s="14" t="s">
        <v>4</v>
      </c>
      <c r="D6" s="15" t="s">
        <v>6</v>
      </c>
      <c r="E6" s="16"/>
      <c r="F6" s="14" t="s">
        <v>4</v>
      </c>
      <c r="G6" s="15" t="s">
        <v>6</v>
      </c>
      <c r="H6" s="57"/>
      <c r="I6" s="14" t="s">
        <v>6</v>
      </c>
      <c r="J6" s="57"/>
    </row>
    <row r="7" spans="1:10" ht="23.25">
      <c r="A7" s="3">
        <v>1</v>
      </c>
      <c r="B7" s="32" t="s">
        <v>22</v>
      </c>
      <c r="C7" s="39">
        <v>210</v>
      </c>
      <c r="D7" s="20">
        <f>34150193981.51/1000000</f>
        <v>34150.19398151</v>
      </c>
      <c r="E7" s="41">
        <f aca="true" t="shared" si="0" ref="E7:E30">(D7/$D$31)*100</f>
        <v>25.71212466557002</v>
      </c>
      <c r="F7" s="39">
        <v>211</v>
      </c>
      <c r="G7" s="20">
        <v>34220.84892937</v>
      </c>
      <c r="H7" s="44">
        <f aca="true" t="shared" si="1" ref="H7:H30">(G7/$G$31)*100</f>
        <v>25.79778460345444</v>
      </c>
      <c r="I7" s="61">
        <f aca="true" t="shared" si="2" ref="I7:I30">(D7-G7)</f>
        <v>-70.65494785999908</v>
      </c>
      <c r="J7" s="62">
        <f aca="true" t="shared" si="3" ref="J7:J28">(D7-G7)/G7*100</f>
        <v>-0.20646754849894905</v>
      </c>
    </row>
    <row r="8" spans="1:10" ht="23.25">
      <c r="A8" s="3">
        <v>2</v>
      </c>
      <c r="B8" s="32" t="s">
        <v>19</v>
      </c>
      <c r="C8" s="4">
        <v>124</v>
      </c>
      <c r="D8" s="20">
        <f>20761013018.89/1000000</f>
        <v>20761.01301889</v>
      </c>
      <c r="E8" s="41">
        <f t="shared" si="0"/>
        <v>15.631236391050763</v>
      </c>
      <c r="F8" s="4">
        <v>118</v>
      </c>
      <c r="G8" s="20">
        <v>20597.70011474</v>
      </c>
      <c r="H8" s="41">
        <f t="shared" si="1"/>
        <v>15.527815571827015</v>
      </c>
      <c r="I8" s="61">
        <f t="shared" si="2"/>
        <v>163.31290414999967</v>
      </c>
      <c r="J8" s="63">
        <f t="shared" si="3"/>
        <v>0.7928696079672054</v>
      </c>
    </row>
    <row r="9" spans="1:10" ht="23.25">
      <c r="A9" s="3">
        <v>3</v>
      </c>
      <c r="B9" s="32" t="s">
        <v>14</v>
      </c>
      <c r="C9" s="39">
        <v>35</v>
      </c>
      <c r="D9" s="20">
        <f>(693518698.56+16429068055.77)/1000000</f>
        <v>17122.58675433</v>
      </c>
      <c r="E9" s="41">
        <f t="shared" si="0"/>
        <v>12.89181799268082</v>
      </c>
      <c r="F9" s="39">
        <v>37</v>
      </c>
      <c r="G9" s="20">
        <v>17217.09396568</v>
      </c>
      <c r="H9" s="41">
        <f t="shared" si="1"/>
        <v>12.979306344526293</v>
      </c>
      <c r="I9" s="61">
        <f t="shared" si="2"/>
        <v>-94.50721134999912</v>
      </c>
      <c r="J9" s="63">
        <f t="shared" si="3"/>
        <v>-0.548915000048131</v>
      </c>
    </row>
    <row r="10" spans="1:10" ht="23.25">
      <c r="A10" s="3">
        <v>4</v>
      </c>
      <c r="B10" s="32" t="s">
        <v>17</v>
      </c>
      <c r="C10" s="39">
        <v>50</v>
      </c>
      <c r="D10" s="20">
        <f>15502595382.27/1000000</f>
        <v>15502.595382270001</v>
      </c>
      <c r="E10" s="41">
        <f t="shared" si="0"/>
        <v>11.672105444690406</v>
      </c>
      <c r="F10" s="39">
        <v>50</v>
      </c>
      <c r="G10" s="20">
        <v>15498.80704482</v>
      </c>
      <c r="H10" s="41">
        <f t="shared" si="1"/>
        <v>11.683955783154486</v>
      </c>
      <c r="I10" s="61">
        <f t="shared" si="2"/>
        <v>3.7883374500015634</v>
      </c>
      <c r="J10" s="63">
        <f t="shared" si="3"/>
        <v>0.024442768008184856</v>
      </c>
    </row>
    <row r="11" spans="1:10" ht="23.25">
      <c r="A11" s="3">
        <v>5</v>
      </c>
      <c r="B11" s="32" t="s">
        <v>30</v>
      </c>
      <c r="C11" s="4">
        <v>386</v>
      </c>
      <c r="D11" s="20">
        <f>7755.58</f>
        <v>7755.58</v>
      </c>
      <c r="E11" s="41">
        <f t="shared" si="0"/>
        <v>5.839276928317589</v>
      </c>
      <c r="F11" s="4">
        <v>402</v>
      </c>
      <c r="G11" s="20">
        <v>7866.13</v>
      </c>
      <c r="H11" s="41">
        <f t="shared" si="1"/>
        <v>5.929973503042111</v>
      </c>
      <c r="I11" s="61">
        <f t="shared" si="2"/>
        <v>-110.55000000000018</v>
      </c>
      <c r="J11" s="63">
        <f t="shared" si="3"/>
        <v>-1.4053924865213285</v>
      </c>
    </row>
    <row r="12" spans="1:10" ht="23.25">
      <c r="A12" s="3">
        <v>6</v>
      </c>
      <c r="B12" s="32" t="s">
        <v>21</v>
      </c>
      <c r="C12" s="4">
        <v>10</v>
      </c>
      <c r="D12" s="20">
        <f>7217288.76/1000</f>
        <v>7217.2887599999995</v>
      </c>
      <c r="E12" s="41">
        <f t="shared" si="0"/>
        <v>5.433990461225835</v>
      </c>
      <c r="F12" s="4">
        <v>10</v>
      </c>
      <c r="G12" s="20">
        <v>7109.21816</v>
      </c>
      <c r="H12" s="41">
        <f t="shared" si="1"/>
        <v>5.359366717324248</v>
      </c>
      <c r="I12" s="61">
        <f t="shared" si="2"/>
        <v>108.0705999999991</v>
      </c>
      <c r="J12" s="63">
        <f t="shared" si="3"/>
        <v>1.5201474700559632</v>
      </c>
    </row>
    <row r="13" spans="1:10" ht="23.25">
      <c r="A13" s="3">
        <v>7</v>
      </c>
      <c r="B13" s="33" t="s">
        <v>26</v>
      </c>
      <c r="C13" s="5">
        <v>18</v>
      </c>
      <c r="D13" s="20">
        <f>6297553724.8/1000000</f>
        <v>6297.5537248</v>
      </c>
      <c r="E13" s="41">
        <f t="shared" si="0"/>
        <v>4.7415100057075215</v>
      </c>
      <c r="F13" s="5">
        <v>20</v>
      </c>
      <c r="G13" s="20">
        <v>5825.71639649</v>
      </c>
      <c r="H13" s="41">
        <f t="shared" si="1"/>
        <v>4.391783998919883</v>
      </c>
      <c r="I13" s="61">
        <f t="shared" si="2"/>
        <v>471.83732831</v>
      </c>
      <c r="J13" s="63">
        <f t="shared" si="3"/>
        <v>8.099215550456291</v>
      </c>
    </row>
    <row r="14" spans="1:10" ht="23.25">
      <c r="A14" s="3">
        <v>8</v>
      </c>
      <c r="B14" s="33" t="s">
        <v>20</v>
      </c>
      <c r="C14" s="5">
        <v>110</v>
      </c>
      <c r="D14" s="20">
        <f>3940.14</f>
        <v>3940.14</v>
      </c>
      <c r="E14" s="41">
        <f t="shared" si="0"/>
        <v>2.966582589096014</v>
      </c>
      <c r="F14" s="5">
        <v>111</v>
      </c>
      <c r="G14" s="20">
        <v>4397</v>
      </c>
      <c r="H14" s="41">
        <f t="shared" si="1"/>
        <v>3.314729542084374</v>
      </c>
      <c r="I14" s="61">
        <f t="shared" si="2"/>
        <v>-456.8600000000001</v>
      </c>
      <c r="J14" s="63">
        <f t="shared" si="3"/>
        <v>-10.390266090516263</v>
      </c>
    </row>
    <row r="15" spans="1:10" ht="23.25">
      <c r="A15" s="3">
        <v>9</v>
      </c>
      <c r="B15" s="32" t="s">
        <v>31</v>
      </c>
      <c r="C15" s="4">
        <v>51</v>
      </c>
      <c r="D15" s="20">
        <f>3642405235.1/1000000</f>
        <v>3642.4052351</v>
      </c>
      <c r="E15" s="41">
        <f t="shared" si="0"/>
        <v>2.7424142169770196</v>
      </c>
      <c r="F15" s="4">
        <v>53</v>
      </c>
      <c r="G15" s="20">
        <v>3777.41980344</v>
      </c>
      <c r="H15" s="41">
        <f t="shared" si="1"/>
        <v>2.847651811534482</v>
      </c>
      <c r="I15" s="61">
        <f t="shared" si="2"/>
        <v>-135.0145683400001</v>
      </c>
      <c r="J15" s="63">
        <f t="shared" si="3"/>
        <v>-3.5742537331181925</v>
      </c>
    </row>
    <row r="16" spans="1:10" ht="23.25">
      <c r="A16" s="3">
        <v>10</v>
      </c>
      <c r="B16" s="32" t="s">
        <v>57</v>
      </c>
      <c r="C16" s="39">
        <v>2</v>
      </c>
      <c r="D16" s="40">
        <f>2950109819.82/1000000</f>
        <v>2950.10981982</v>
      </c>
      <c r="E16" s="41">
        <f t="shared" si="0"/>
        <v>2.2211760057762397</v>
      </c>
      <c r="F16" s="39">
        <v>2</v>
      </c>
      <c r="G16" s="40">
        <v>2848.0352972399996</v>
      </c>
      <c r="H16" s="41">
        <f t="shared" si="1"/>
        <v>2.1470245023107752</v>
      </c>
      <c r="I16" s="61">
        <f t="shared" si="2"/>
        <v>102.07452258000058</v>
      </c>
      <c r="J16" s="63">
        <f t="shared" si="3"/>
        <v>3.584032918374288</v>
      </c>
    </row>
    <row r="17" spans="1:10" ht="23.25">
      <c r="A17" s="3">
        <v>11</v>
      </c>
      <c r="B17" s="32" t="s">
        <v>24</v>
      </c>
      <c r="C17" s="54">
        <v>66</v>
      </c>
      <c r="D17" s="20">
        <v>2819.86</v>
      </c>
      <c r="E17" s="41">
        <f t="shared" si="0"/>
        <v>2.1231092244662086</v>
      </c>
      <c r="F17" s="54">
        <v>69</v>
      </c>
      <c r="G17" s="20">
        <v>2927.96</v>
      </c>
      <c r="H17" s="41">
        <f t="shared" si="1"/>
        <v>2.2072766681922595</v>
      </c>
      <c r="I17" s="61">
        <f t="shared" si="2"/>
        <v>-108.09999999999991</v>
      </c>
      <c r="J17" s="63">
        <f t="shared" si="3"/>
        <v>-3.6919903277367148</v>
      </c>
    </row>
    <row r="18" spans="1:10" ht="23.25">
      <c r="A18" s="3">
        <v>12</v>
      </c>
      <c r="B18" s="32" t="s">
        <v>46</v>
      </c>
      <c r="C18" s="39">
        <v>55</v>
      </c>
      <c r="D18" s="20">
        <f>2296247361.56/1000000</f>
        <v>2296.2473615599997</v>
      </c>
      <c r="E18" s="41">
        <f t="shared" si="0"/>
        <v>1.7288744671665361</v>
      </c>
      <c r="F18" s="39">
        <v>52</v>
      </c>
      <c r="G18" s="20">
        <v>2160.70503808</v>
      </c>
      <c r="H18" s="41">
        <f t="shared" si="1"/>
        <v>1.6288725998304114</v>
      </c>
      <c r="I18" s="61">
        <f t="shared" si="2"/>
        <v>135.5423234799996</v>
      </c>
      <c r="J18" s="63">
        <f t="shared" si="3"/>
        <v>6.2730600008431665</v>
      </c>
    </row>
    <row r="19" spans="1:10" ht="23.25">
      <c r="A19" s="3">
        <v>13</v>
      </c>
      <c r="B19" s="32" t="s">
        <v>36</v>
      </c>
      <c r="C19" s="4">
        <v>52</v>
      </c>
      <c r="D19" s="20">
        <v>2032.9</v>
      </c>
      <c r="E19" s="41">
        <f t="shared" si="0"/>
        <v>1.5305968177205092</v>
      </c>
      <c r="F19" s="4">
        <v>56</v>
      </c>
      <c r="G19" s="20">
        <v>2087.63</v>
      </c>
      <c r="H19" s="41">
        <f t="shared" si="1"/>
        <v>1.573784133259405</v>
      </c>
      <c r="I19" s="61">
        <f t="shared" si="2"/>
        <v>-54.73000000000002</v>
      </c>
      <c r="J19" s="63">
        <f t="shared" si="3"/>
        <v>-2.621633143804219</v>
      </c>
    </row>
    <row r="20" spans="1:10" ht="23.25">
      <c r="A20" s="3">
        <v>14</v>
      </c>
      <c r="B20" s="32" t="s">
        <v>33</v>
      </c>
      <c r="C20" s="4">
        <v>3</v>
      </c>
      <c r="D20" s="20">
        <f>1721103005.59/1000000</f>
        <v>1721.1030055899998</v>
      </c>
      <c r="E20" s="41">
        <f t="shared" si="0"/>
        <v>1.2958408103326566</v>
      </c>
      <c r="F20" s="4">
        <v>1</v>
      </c>
      <c r="G20" s="20">
        <v>1201.42887185</v>
      </c>
      <c r="H20" s="41">
        <f t="shared" si="1"/>
        <v>0.9057111153591759</v>
      </c>
      <c r="I20" s="61">
        <f t="shared" si="2"/>
        <v>519.6741337399999</v>
      </c>
      <c r="J20" s="63">
        <f t="shared" si="3"/>
        <v>43.25467332408854</v>
      </c>
    </row>
    <row r="21" spans="1:10" ht="23.25">
      <c r="A21" s="46">
        <v>15</v>
      </c>
      <c r="B21" s="32" t="s">
        <v>25</v>
      </c>
      <c r="C21" s="4">
        <v>3</v>
      </c>
      <c r="D21" s="20">
        <f>1317785900.2/1000000</f>
        <v>1317.7859002</v>
      </c>
      <c r="E21" s="41">
        <f t="shared" si="0"/>
        <v>0.9921781225259859</v>
      </c>
      <c r="F21" s="4">
        <v>3</v>
      </c>
      <c r="G21" s="20">
        <v>1315.15063406</v>
      </c>
      <c r="H21" s="41">
        <f t="shared" si="1"/>
        <v>0.9914415872207591</v>
      </c>
      <c r="I21" s="61">
        <f t="shared" si="2"/>
        <v>2.6352661400001125</v>
      </c>
      <c r="J21" s="63">
        <f t="shared" si="3"/>
        <v>0.20037751355255676</v>
      </c>
    </row>
    <row r="22" spans="1:10" ht="23.25">
      <c r="A22" s="3">
        <v>16</v>
      </c>
      <c r="B22" s="32" t="s">
        <v>32</v>
      </c>
      <c r="C22" s="4">
        <v>37</v>
      </c>
      <c r="D22" s="20">
        <f>969704197.93/1000000</f>
        <v>969.70419793</v>
      </c>
      <c r="E22" s="41">
        <f t="shared" si="0"/>
        <v>0.7301028872457459</v>
      </c>
      <c r="F22" s="4">
        <v>37</v>
      </c>
      <c r="G22" s="20">
        <v>997.51461017</v>
      </c>
      <c r="H22" s="41">
        <f t="shared" si="1"/>
        <v>0.7519879797569428</v>
      </c>
      <c r="I22" s="61">
        <f t="shared" si="2"/>
        <v>-27.810412240000005</v>
      </c>
      <c r="J22" s="63">
        <f t="shared" si="3"/>
        <v>-2.7879704173215525</v>
      </c>
    </row>
    <row r="23" spans="1:10" ht="23.25">
      <c r="A23" s="3">
        <v>17</v>
      </c>
      <c r="B23" s="33" t="s">
        <v>52</v>
      </c>
      <c r="C23" s="39">
        <v>11</v>
      </c>
      <c r="D23" s="40">
        <f>801357334.06/1000000</f>
        <v>801.35733406</v>
      </c>
      <c r="E23" s="41">
        <f t="shared" si="0"/>
        <v>0.6033523465833179</v>
      </c>
      <c r="F23" s="39">
        <v>11</v>
      </c>
      <c r="G23" s="40">
        <v>787.3028591</v>
      </c>
      <c r="H23" s="41">
        <f t="shared" si="1"/>
        <v>0.5935174086027432</v>
      </c>
      <c r="I23" s="61">
        <f t="shared" si="2"/>
        <v>14.054474959999993</v>
      </c>
      <c r="J23" s="63">
        <f t="shared" si="3"/>
        <v>1.7851421213008514</v>
      </c>
    </row>
    <row r="24" spans="1:10" ht="23.25">
      <c r="A24" s="3">
        <v>18</v>
      </c>
      <c r="B24" s="32" t="s">
        <v>16</v>
      </c>
      <c r="C24" s="4">
        <v>84</v>
      </c>
      <c r="D24" s="20">
        <f>624593107.83/1000000</f>
        <v>624.59310783</v>
      </c>
      <c r="E24" s="41">
        <f t="shared" si="0"/>
        <v>0.4702642644570618</v>
      </c>
      <c r="F24" s="4">
        <v>88</v>
      </c>
      <c r="G24" s="20">
        <v>630.11854652</v>
      </c>
      <c r="H24" s="41">
        <f t="shared" si="1"/>
        <v>0.47502218812033453</v>
      </c>
      <c r="I24" s="61">
        <f t="shared" si="2"/>
        <v>-5.525438689999987</v>
      </c>
      <c r="J24" s="63">
        <f t="shared" si="3"/>
        <v>-0.8768887569673542</v>
      </c>
    </row>
    <row r="25" spans="1:10" ht="23.25">
      <c r="A25" s="21">
        <v>19</v>
      </c>
      <c r="B25" s="32" t="s">
        <v>51</v>
      </c>
      <c r="C25" s="4">
        <v>20</v>
      </c>
      <c r="D25" s="20">
        <f>479205334.23/1000000</f>
        <v>479.20533423</v>
      </c>
      <c r="E25" s="41">
        <f t="shared" si="0"/>
        <v>0.3607999211014467</v>
      </c>
      <c r="F25" s="4">
        <v>28</v>
      </c>
      <c r="G25" s="20">
        <v>764.93989633</v>
      </c>
      <c r="H25" s="41">
        <f t="shared" si="1"/>
        <v>0.5766588292663202</v>
      </c>
      <c r="I25" s="61">
        <f t="shared" si="2"/>
        <v>-285.7345621</v>
      </c>
      <c r="J25" s="63">
        <f t="shared" si="3"/>
        <v>-37.3538579267321</v>
      </c>
    </row>
    <row r="26" spans="1:10" ht="23.25">
      <c r="A26" s="21">
        <v>20</v>
      </c>
      <c r="B26" s="32" t="s">
        <v>34</v>
      </c>
      <c r="C26" s="54">
        <v>2</v>
      </c>
      <c r="D26" s="40">
        <f>211955405.1/1000000</f>
        <v>211.9554051</v>
      </c>
      <c r="E26" s="41">
        <f t="shared" si="0"/>
        <v>0.15958397783694298</v>
      </c>
      <c r="F26" s="54">
        <v>2</v>
      </c>
      <c r="G26" s="40">
        <v>210.09081128</v>
      </c>
      <c r="H26" s="41">
        <f t="shared" si="1"/>
        <v>0.15837939928821676</v>
      </c>
      <c r="I26" s="61">
        <f t="shared" si="2"/>
        <v>1.8645938200000103</v>
      </c>
      <c r="J26" s="63">
        <f t="shared" si="3"/>
        <v>0.8875180254861121</v>
      </c>
    </row>
    <row r="27" spans="1:10" ht="23.25">
      <c r="A27" s="21">
        <v>21</v>
      </c>
      <c r="B27" s="32" t="s">
        <v>35</v>
      </c>
      <c r="C27" s="54">
        <v>5</v>
      </c>
      <c r="D27" s="20">
        <f>202227548.56/1000000</f>
        <v>202.22754856</v>
      </c>
      <c r="E27" s="41">
        <f t="shared" si="0"/>
        <v>0.15225974828144806</v>
      </c>
      <c r="F27" s="54">
        <v>5</v>
      </c>
      <c r="G27" s="20">
        <v>203.69647965000001</v>
      </c>
      <c r="H27" s="45">
        <f t="shared" si="1"/>
        <v>0.15355895808834288</v>
      </c>
      <c r="I27" s="61">
        <f t="shared" si="2"/>
        <v>-1.4689310900000123</v>
      </c>
      <c r="J27" s="63">
        <f t="shared" si="3"/>
        <v>-0.721137200075324</v>
      </c>
    </row>
    <row r="28" spans="1:10" ht="23.25">
      <c r="A28" s="21">
        <v>22</v>
      </c>
      <c r="B28" s="32" t="s">
        <v>72</v>
      </c>
      <c r="C28" s="54">
        <v>2</v>
      </c>
      <c r="D28" s="20">
        <f>1066140.71/1000000</f>
        <v>1.06614071</v>
      </c>
      <c r="E28" s="41">
        <f t="shared" si="0"/>
        <v>0.0008027111899101206</v>
      </c>
      <c r="F28" s="54">
        <v>2</v>
      </c>
      <c r="G28" s="20">
        <v>5.83231023</v>
      </c>
      <c r="H28" s="45">
        <f t="shared" si="1"/>
        <v>0.00439675483693016</v>
      </c>
      <c r="I28" s="61">
        <f t="shared" si="2"/>
        <v>-4.76616952</v>
      </c>
      <c r="J28" s="63">
        <f t="shared" si="3"/>
        <v>-81.72009601759473</v>
      </c>
    </row>
    <row r="29" spans="1:10" ht="23.25">
      <c r="A29" s="21">
        <v>23</v>
      </c>
      <c r="B29" s="32" t="s">
        <v>23</v>
      </c>
      <c r="C29" s="5"/>
      <c r="D29" s="42"/>
      <c r="E29" s="41">
        <f t="shared" si="0"/>
        <v>0</v>
      </c>
      <c r="F29" s="69">
        <v>0</v>
      </c>
      <c r="G29" s="58">
        <v>0</v>
      </c>
      <c r="H29" s="45">
        <f t="shared" si="1"/>
        <v>0</v>
      </c>
      <c r="I29" s="61">
        <f t="shared" si="2"/>
        <v>0</v>
      </c>
      <c r="J29" s="63">
        <v>0</v>
      </c>
    </row>
    <row r="30" spans="1:10" ht="24" thickBot="1">
      <c r="A30" s="21">
        <v>24</v>
      </c>
      <c r="B30" s="32" t="s">
        <v>58</v>
      </c>
      <c r="C30" s="54"/>
      <c r="D30" s="42"/>
      <c r="E30" s="41">
        <f t="shared" si="0"/>
        <v>0</v>
      </c>
      <c r="F30" s="39">
        <v>0</v>
      </c>
      <c r="G30" s="20">
        <v>0</v>
      </c>
      <c r="H30" s="45">
        <f t="shared" si="1"/>
        <v>0</v>
      </c>
      <c r="I30" s="61">
        <f t="shared" si="2"/>
        <v>0</v>
      </c>
      <c r="J30" s="63">
        <v>0</v>
      </c>
    </row>
    <row r="31" spans="1:11" ht="24" thickBot="1">
      <c r="A31" s="70" t="s">
        <v>11</v>
      </c>
      <c r="B31" s="71"/>
      <c r="C31" s="6">
        <f aca="true" t="shared" si="4" ref="C31:I31">SUM(C7:C30)</f>
        <v>1336</v>
      </c>
      <c r="D31" s="37">
        <f t="shared" si="4"/>
        <v>132817.47201249</v>
      </c>
      <c r="E31" s="38">
        <f t="shared" si="4"/>
        <v>100.00000000000001</v>
      </c>
      <c r="F31" s="6">
        <f t="shared" si="4"/>
        <v>1368</v>
      </c>
      <c r="G31" s="59">
        <f t="shared" si="4"/>
        <v>132650.33976905007</v>
      </c>
      <c r="H31" s="60">
        <f t="shared" si="4"/>
        <v>99.99999999999997</v>
      </c>
      <c r="I31" s="43">
        <f t="shared" si="4"/>
        <v>167.13224344000193</v>
      </c>
      <c r="J31" s="66">
        <f>(D31-G31)/G31*100</f>
        <v>0.12599458375373776</v>
      </c>
      <c r="K31" s="7"/>
    </row>
    <row r="32" spans="1:11" ht="5.25" customHeight="1">
      <c r="A32" s="22"/>
      <c r="B32" s="34"/>
      <c r="C32" s="23"/>
      <c r="D32" s="24"/>
      <c r="E32" s="25"/>
      <c r="F32" s="23"/>
      <c r="G32" s="24"/>
      <c r="H32" s="25"/>
      <c r="I32" s="26"/>
      <c r="J32" s="27"/>
      <c r="K32" s="7"/>
    </row>
    <row r="33" spans="2:10" ht="21">
      <c r="B33" s="35" t="s">
        <v>59</v>
      </c>
      <c r="H33" s="17" t="s">
        <v>10</v>
      </c>
      <c r="J33" s="18"/>
    </row>
    <row r="34" spans="2:10" ht="21">
      <c r="B34" s="68" t="s">
        <v>54</v>
      </c>
      <c r="H34" s="17" t="s">
        <v>9</v>
      </c>
      <c r="J34" s="18"/>
    </row>
    <row r="35" spans="2:10" ht="21">
      <c r="B35" s="67"/>
      <c r="H35" s="17"/>
      <c r="J35" s="18"/>
    </row>
    <row r="36" spans="2:10" ht="21">
      <c r="B36" s="67"/>
      <c r="H36" s="17"/>
      <c r="J36" s="18"/>
    </row>
    <row r="38" ht="21">
      <c r="F38" s="64"/>
    </row>
    <row r="39" ht="21" hidden="1"/>
  </sheetData>
  <mergeCells count="6">
    <mergeCell ref="A31:B31"/>
    <mergeCell ref="F4:H4"/>
    <mergeCell ref="A1:J1"/>
    <mergeCell ref="A2:J2"/>
    <mergeCell ref="C4:E4"/>
    <mergeCell ref="I4:J4"/>
  </mergeCells>
  <printOptions horizontalCentered="1" verticalCentered="1"/>
  <pageMargins left="0.1968503937007874" right="0.1968503937007874" top="0.17" bottom="0.17" header="0.25" footer="0.15748031496062992"/>
  <pageSetup fitToHeight="1" fitToWidth="1" horizontalDpi="1200" verticalDpi="1200" orientation="landscape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zoomScale="75" zoomScaleNormal="75" workbookViewId="0" topLeftCell="A10">
      <selection activeCell="B28" sqref="B28"/>
    </sheetView>
  </sheetViews>
  <sheetFormatPr defaultColWidth="9.140625" defaultRowHeight="21.75"/>
  <cols>
    <col min="1" max="1" width="6.57421875" style="1" customWidth="1"/>
    <col min="2" max="2" width="55.7109375" style="35" customWidth="1"/>
    <col min="3" max="3" width="11.00390625" style="1" customWidth="1"/>
    <col min="4" max="4" width="14.8515625" style="1" customWidth="1"/>
    <col min="5" max="5" width="10.421875" style="1" customWidth="1"/>
    <col min="6" max="6" width="10.7109375" style="1" customWidth="1"/>
    <col min="7" max="7" width="14.7109375" style="1" customWidth="1"/>
    <col min="8" max="8" width="10.00390625" style="1" customWidth="1"/>
    <col min="9" max="9" width="15.00390625" style="1" customWidth="1"/>
    <col min="10" max="10" width="10.28125" style="1" customWidth="1"/>
    <col min="11" max="16384" width="9.140625" style="1" customWidth="1"/>
  </cols>
  <sheetData>
    <row r="1" spans="1:10" ht="23.25">
      <c r="A1" s="75" t="s">
        <v>12</v>
      </c>
      <c r="B1" s="76"/>
      <c r="C1" s="76"/>
      <c r="D1" s="76"/>
      <c r="E1" s="76"/>
      <c r="F1" s="76"/>
      <c r="G1" s="76"/>
      <c r="H1" s="76"/>
      <c r="I1" s="76"/>
      <c r="J1" s="76"/>
    </row>
    <row r="2" spans="1:10" ht="23.25">
      <c r="A2" s="75" t="s">
        <v>60</v>
      </c>
      <c r="B2" s="76"/>
      <c r="C2" s="76"/>
      <c r="D2" s="76"/>
      <c r="E2" s="76"/>
      <c r="F2" s="76"/>
      <c r="G2" s="76"/>
      <c r="H2" s="76"/>
      <c r="I2" s="76"/>
      <c r="J2" s="76"/>
    </row>
    <row r="3" spans="1:10" ht="5.25" customHeight="1" thickBot="1">
      <c r="A3" s="19"/>
      <c r="B3" s="28"/>
      <c r="C3" s="2"/>
      <c r="D3" s="19"/>
      <c r="E3" s="19"/>
      <c r="F3" s="2"/>
      <c r="G3" s="2"/>
      <c r="H3" s="2"/>
      <c r="I3" s="19"/>
      <c r="J3" s="19"/>
    </row>
    <row r="4" spans="1:10" ht="22.5" customHeight="1" thickBot="1">
      <c r="A4" s="8"/>
      <c r="B4" s="29"/>
      <c r="C4" s="72" t="s">
        <v>61</v>
      </c>
      <c r="D4" s="73"/>
      <c r="E4" s="74"/>
      <c r="F4" s="72" t="s">
        <v>55</v>
      </c>
      <c r="G4" s="73"/>
      <c r="H4" s="74"/>
      <c r="I4" s="77" t="s">
        <v>8</v>
      </c>
      <c r="J4" s="74"/>
    </row>
    <row r="5" spans="1:10" ht="23.25">
      <c r="A5" s="9" t="s">
        <v>0</v>
      </c>
      <c r="B5" s="30" t="s">
        <v>1</v>
      </c>
      <c r="C5" s="10" t="s">
        <v>2</v>
      </c>
      <c r="D5" s="11" t="s">
        <v>5</v>
      </c>
      <c r="E5" s="12" t="s">
        <v>3</v>
      </c>
      <c r="F5" s="10" t="s">
        <v>2</v>
      </c>
      <c r="G5" s="11" t="s">
        <v>5</v>
      </c>
      <c r="H5" s="56" t="s">
        <v>3</v>
      </c>
      <c r="I5" s="10" t="s">
        <v>5</v>
      </c>
      <c r="J5" s="56" t="s">
        <v>7</v>
      </c>
    </row>
    <row r="6" spans="1:10" ht="24" thickBot="1">
      <c r="A6" s="13"/>
      <c r="B6" s="31"/>
      <c r="C6" s="14" t="s">
        <v>4</v>
      </c>
      <c r="D6" s="15" t="s">
        <v>6</v>
      </c>
      <c r="E6" s="16"/>
      <c r="F6" s="14" t="s">
        <v>4</v>
      </c>
      <c r="G6" s="15" t="s">
        <v>6</v>
      </c>
      <c r="H6" s="57"/>
      <c r="I6" s="14" t="s">
        <v>6</v>
      </c>
      <c r="J6" s="57"/>
    </row>
    <row r="7" spans="1:10" ht="23.25">
      <c r="A7" s="3">
        <v>1</v>
      </c>
      <c r="B7" s="32" t="s">
        <v>22</v>
      </c>
      <c r="C7" s="39">
        <v>205</v>
      </c>
      <c r="D7" s="20">
        <f>30094071224.51/1000000</f>
        <v>30094.071224509997</v>
      </c>
      <c r="E7" s="41">
        <f aca="true" t="shared" si="0" ref="E7:E30">(D7/$D$31)*100</f>
        <v>23.10626162458407</v>
      </c>
      <c r="F7" s="39">
        <v>210</v>
      </c>
      <c r="G7" s="20">
        <v>34150.19398151</v>
      </c>
      <c r="H7" s="44">
        <f aca="true" t="shared" si="1" ref="H7:H30">(G7/$G$31)*100</f>
        <v>25.71212466557002</v>
      </c>
      <c r="I7" s="61">
        <f aca="true" t="shared" si="2" ref="I7:I30">(D7-G7)</f>
        <v>-4056.122757000001</v>
      </c>
      <c r="J7" s="62">
        <f aca="true" t="shared" si="3" ref="J7:J28">(D7-G7)/G7*100</f>
        <v>-11.877305174887484</v>
      </c>
    </row>
    <row r="8" spans="1:10" ht="23.25">
      <c r="A8" s="3">
        <v>2</v>
      </c>
      <c r="B8" s="32" t="s">
        <v>19</v>
      </c>
      <c r="C8" s="4">
        <v>125</v>
      </c>
      <c r="D8" s="20">
        <f>20958160971.79/1000000</f>
        <v>20958.16097179</v>
      </c>
      <c r="E8" s="41">
        <f t="shared" si="0"/>
        <v>16.091699490294264</v>
      </c>
      <c r="F8" s="4">
        <v>124</v>
      </c>
      <c r="G8" s="20">
        <v>20761.01301889</v>
      </c>
      <c r="H8" s="41">
        <f t="shared" si="1"/>
        <v>15.631236391050763</v>
      </c>
      <c r="I8" s="61">
        <f t="shared" si="2"/>
        <v>197.14795289999893</v>
      </c>
      <c r="J8" s="63">
        <f t="shared" si="3"/>
        <v>0.9496066146705762</v>
      </c>
    </row>
    <row r="9" spans="1:10" ht="23.25">
      <c r="A9" s="3">
        <v>3</v>
      </c>
      <c r="B9" s="32" t="s">
        <v>14</v>
      </c>
      <c r="C9" s="39">
        <v>33</v>
      </c>
      <c r="D9" s="20">
        <f>(684718293+16475095816.19)/1000000</f>
        <v>17159.81410919</v>
      </c>
      <c r="E9" s="41">
        <f t="shared" si="0"/>
        <v>13.175324510870634</v>
      </c>
      <c r="F9" s="39">
        <v>35</v>
      </c>
      <c r="G9" s="20">
        <v>17122.58675433</v>
      </c>
      <c r="H9" s="41">
        <f t="shared" si="1"/>
        <v>12.89181799268082</v>
      </c>
      <c r="I9" s="61">
        <f t="shared" si="2"/>
        <v>37.22735485999874</v>
      </c>
      <c r="J9" s="63">
        <f t="shared" si="3"/>
        <v>0.2174166520171644</v>
      </c>
    </row>
    <row r="10" spans="1:10" ht="23.25">
      <c r="A10" s="3">
        <v>4</v>
      </c>
      <c r="B10" s="32" t="s">
        <v>17</v>
      </c>
      <c r="C10" s="39">
        <v>48</v>
      </c>
      <c r="D10" s="20">
        <f>15562340277.59/1000000</f>
        <v>15562.34027759</v>
      </c>
      <c r="E10" s="41">
        <f t="shared" si="0"/>
        <v>11.948782312043317</v>
      </c>
      <c r="F10" s="39">
        <v>50</v>
      </c>
      <c r="G10" s="20">
        <v>15502.595382270001</v>
      </c>
      <c r="H10" s="41">
        <f t="shared" si="1"/>
        <v>11.672105444690406</v>
      </c>
      <c r="I10" s="61">
        <f t="shared" si="2"/>
        <v>59.74489531999825</v>
      </c>
      <c r="J10" s="63">
        <f t="shared" si="3"/>
        <v>0.3853864069001456</v>
      </c>
    </row>
    <row r="11" spans="1:10" ht="23.25">
      <c r="A11" s="3">
        <v>5</v>
      </c>
      <c r="B11" s="32" t="s">
        <v>30</v>
      </c>
      <c r="C11" s="4">
        <v>382</v>
      </c>
      <c r="D11" s="20">
        <v>7707.64</v>
      </c>
      <c r="E11" s="41">
        <f t="shared" si="0"/>
        <v>5.91793463302036</v>
      </c>
      <c r="F11" s="4">
        <v>386</v>
      </c>
      <c r="G11" s="20">
        <v>7755.58</v>
      </c>
      <c r="H11" s="41">
        <f t="shared" si="1"/>
        <v>5.839276928317589</v>
      </c>
      <c r="I11" s="61">
        <f t="shared" si="2"/>
        <v>-47.9399999999996</v>
      </c>
      <c r="J11" s="63">
        <f t="shared" si="3"/>
        <v>-0.6181355875382576</v>
      </c>
    </row>
    <row r="12" spans="1:10" ht="23.25">
      <c r="A12" s="3">
        <v>6</v>
      </c>
      <c r="B12" s="32" t="s">
        <v>21</v>
      </c>
      <c r="C12" s="4">
        <v>10</v>
      </c>
      <c r="D12" s="20">
        <f>7273979.61/1000</f>
        <v>7273.97961</v>
      </c>
      <c r="E12" s="41">
        <f t="shared" si="0"/>
        <v>5.584969699402532</v>
      </c>
      <c r="F12" s="4">
        <v>10</v>
      </c>
      <c r="G12" s="20">
        <v>7217.2887599999995</v>
      </c>
      <c r="H12" s="41">
        <f t="shared" si="1"/>
        <v>5.433990461225835</v>
      </c>
      <c r="I12" s="61">
        <f t="shared" si="2"/>
        <v>56.690850000000864</v>
      </c>
      <c r="J12" s="63">
        <f t="shared" si="3"/>
        <v>0.7854867926886283</v>
      </c>
    </row>
    <row r="13" spans="1:10" ht="23.25">
      <c r="A13" s="3">
        <v>7</v>
      </c>
      <c r="B13" s="33" t="s">
        <v>26</v>
      </c>
      <c r="C13" s="5">
        <v>18</v>
      </c>
      <c r="D13" s="20">
        <f>6133251945.33/1000000</f>
        <v>6133.25194533</v>
      </c>
      <c r="E13" s="41">
        <f t="shared" si="0"/>
        <v>4.709117719601318</v>
      </c>
      <c r="F13" s="5">
        <v>18</v>
      </c>
      <c r="G13" s="20">
        <v>6297.5537248</v>
      </c>
      <c r="H13" s="41">
        <f t="shared" si="1"/>
        <v>4.7415100057075215</v>
      </c>
      <c r="I13" s="61">
        <f t="shared" si="2"/>
        <v>-164.30177946999993</v>
      </c>
      <c r="J13" s="63">
        <f t="shared" si="3"/>
        <v>-2.608977813447997</v>
      </c>
    </row>
    <row r="14" spans="1:10" ht="23.25">
      <c r="A14" s="3">
        <v>8</v>
      </c>
      <c r="B14" s="33" t="s">
        <v>20</v>
      </c>
      <c r="C14" s="5">
        <v>110</v>
      </c>
      <c r="D14" s="20">
        <f>4125.58</f>
        <v>4125.58</v>
      </c>
      <c r="E14" s="41">
        <f t="shared" si="0"/>
        <v>3.1676249491797925</v>
      </c>
      <c r="F14" s="5">
        <v>110</v>
      </c>
      <c r="G14" s="20">
        <v>3940.14</v>
      </c>
      <c r="H14" s="41">
        <f t="shared" si="1"/>
        <v>2.966582589096014</v>
      </c>
      <c r="I14" s="61">
        <f t="shared" si="2"/>
        <v>185.44000000000005</v>
      </c>
      <c r="J14" s="63">
        <f t="shared" si="3"/>
        <v>4.706431751156051</v>
      </c>
    </row>
    <row r="15" spans="1:10" ht="23.25">
      <c r="A15" s="3">
        <v>9</v>
      </c>
      <c r="B15" s="32" t="s">
        <v>31</v>
      </c>
      <c r="C15" s="4">
        <v>51</v>
      </c>
      <c r="D15" s="20">
        <f>3550200031.59/1000000</f>
        <v>3550.20003159</v>
      </c>
      <c r="E15" s="41">
        <f t="shared" si="0"/>
        <v>2.7258475643772204</v>
      </c>
      <c r="F15" s="4">
        <v>51</v>
      </c>
      <c r="G15" s="20">
        <v>3642.4052351</v>
      </c>
      <c r="H15" s="41">
        <f t="shared" si="1"/>
        <v>2.7424142169770196</v>
      </c>
      <c r="I15" s="61">
        <f t="shared" si="2"/>
        <v>-92.20520351000005</v>
      </c>
      <c r="J15" s="63">
        <f t="shared" si="3"/>
        <v>-2.531437266272999</v>
      </c>
    </row>
    <row r="16" spans="1:10" ht="23.25">
      <c r="A16" s="3">
        <v>10</v>
      </c>
      <c r="B16" s="32" t="s">
        <v>24</v>
      </c>
      <c r="C16" s="39">
        <v>66</v>
      </c>
      <c r="D16" s="20">
        <f>3304</f>
        <v>3304</v>
      </c>
      <c r="E16" s="41">
        <f t="shared" si="0"/>
        <v>2.536814904108037</v>
      </c>
      <c r="F16" s="39">
        <v>66</v>
      </c>
      <c r="G16" s="20">
        <v>2819.86</v>
      </c>
      <c r="H16" s="41">
        <f t="shared" si="1"/>
        <v>2.1231092244662086</v>
      </c>
      <c r="I16" s="61">
        <f t="shared" si="2"/>
        <v>484.1399999999999</v>
      </c>
      <c r="J16" s="63">
        <f t="shared" si="3"/>
        <v>17.168937464980523</v>
      </c>
    </row>
    <row r="17" spans="1:10" ht="23.25">
      <c r="A17" s="3">
        <v>11</v>
      </c>
      <c r="B17" s="32" t="s">
        <v>57</v>
      </c>
      <c r="C17" s="54">
        <v>2</v>
      </c>
      <c r="D17" s="40">
        <f>2970472343.93/1000000</f>
        <v>2970.4723439299996</v>
      </c>
      <c r="E17" s="41">
        <f t="shared" si="0"/>
        <v>2.280731995860278</v>
      </c>
      <c r="F17" s="54">
        <v>2</v>
      </c>
      <c r="G17" s="40">
        <v>2950.10981982</v>
      </c>
      <c r="H17" s="41">
        <f t="shared" si="1"/>
        <v>2.2211760057762397</v>
      </c>
      <c r="I17" s="61">
        <f t="shared" si="2"/>
        <v>20.362524109999413</v>
      </c>
      <c r="J17" s="63">
        <f t="shared" si="3"/>
        <v>0.6902293593681141</v>
      </c>
    </row>
    <row r="18" spans="1:10" ht="23.25">
      <c r="A18" s="3">
        <v>12</v>
      </c>
      <c r="B18" s="32" t="s">
        <v>46</v>
      </c>
      <c r="C18" s="54">
        <v>54</v>
      </c>
      <c r="D18" s="20">
        <f>2314131108.35/1000000</f>
        <v>2314.13110835</v>
      </c>
      <c r="E18" s="41">
        <f t="shared" si="0"/>
        <v>1.7767924593590592</v>
      </c>
      <c r="F18" s="39">
        <v>55</v>
      </c>
      <c r="G18" s="20">
        <v>2296.2473615599997</v>
      </c>
      <c r="H18" s="41">
        <f t="shared" si="1"/>
        <v>1.7288744671665361</v>
      </c>
      <c r="I18" s="61">
        <f t="shared" si="2"/>
        <v>17.88374679000026</v>
      </c>
      <c r="J18" s="63">
        <f t="shared" si="3"/>
        <v>0.7788249249353777</v>
      </c>
    </row>
    <row r="19" spans="1:10" ht="23.25">
      <c r="A19" s="3">
        <v>13</v>
      </c>
      <c r="B19" s="32" t="s">
        <v>36</v>
      </c>
      <c r="C19" s="4">
        <v>45</v>
      </c>
      <c r="D19" s="20">
        <f>2025.61</f>
        <v>2025.61</v>
      </c>
      <c r="E19" s="41">
        <f t="shared" si="0"/>
        <v>1.55526562890747</v>
      </c>
      <c r="F19" s="4">
        <v>52</v>
      </c>
      <c r="G19" s="20">
        <v>2032.9</v>
      </c>
      <c r="H19" s="41">
        <f t="shared" si="1"/>
        <v>1.5305968177205092</v>
      </c>
      <c r="I19" s="61">
        <f t="shared" si="2"/>
        <v>-7.290000000000191</v>
      </c>
      <c r="J19" s="63">
        <f t="shared" si="3"/>
        <v>-0.3586010133307192</v>
      </c>
    </row>
    <row r="20" spans="1:10" ht="23.25">
      <c r="A20" s="3">
        <v>14</v>
      </c>
      <c r="B20" s="32" t="s">
        <v>33</v>
      </c>
      <c r="C20" s="4">
        <v>3</v>
      </c>
      <c r="D20" s="20">
        <f>1778844807.41/1000000</f>
        <v>1778.8448074100002</v>
      </c>
      <c r="E20" s="41">
        <f t="shared" si="0"/>
        <v>1.365799037388886</v>
      </c>
      <c r="F20" s="4">
        <v>3</v>
      </c>
      <c r="G20" s="20">
        <v>1721.1030055899998</v>
      </c>
      <c r="H20" s="41">
        <f t="shared" si="1"/>
        <v>1.2958408103326566</v>
      </c>
      <c r="I20" s="61">
        <f t="shared" si="2"/>
        <v>57.74180182000032</v>
      </c>
      <c r="J20" s="63">
        <f t="shared" si="3"/>
        <v>3.354930043841637</v>
      </c>
    </row>
    <row r="21" spans="1:10" ht="23.25">
      <c r="A21" s="46">
        <v>15</v>
      </c>
      <c r="B21" s="32" t="s">
        <v>25</v>
      </c>
      <c r="C21" s="4">
        <v>7</v>
      </c>
      <c r="D21" s="20">
        <f>1590891154.1/1000000</f>
        <v>1590.8911541</v>
      </c>
      <c r="E21" s="41">
        <f t="shared" si="0"/>
        <v>1.2214880116629891</v>
      </c>
      <c r="F21" s="4">
        <v>3</v>
      </c>
      <c r="G21" s="20">
        <v>1317.7859002</v>
      </c>
      <c r="H21" s="41">
        <f t="shared" si="1"/>
        <v>0.9921781225259859</v>
      </c>
      <c r="I21" s="61">
        <f t="shared" si="2"/>
        <v>273.1052539</v>
      </c>
      <c r="J21" s="63">
        <f t="shared" si="3"/>
        <v>20.72455425866606</v>
      </c>
    </row>
    <row r="22" spans="1:10" ht="23.25">
      <c r="A22" s="3">
        <v>16</v>
      </c>
      <c r="B22" s="32" t="s">
        <v>32</v>
      </c>
      <c r="C22" s="4">
        <v>37</v>
      </c>
      <c r="D22" s="20">
        <f>942052112.02/1000000</f>
        <v>942.05211202</v>
      </c>
      <c r="E22" s="41">
        <f t="shared" si="0"/>
        <v>0.7233086677417645</v>
      </c>
      <c r="F22" s="4">
        <v>37</v>
      </c>
      <c r="G22" s="20">
        <v>969.70419793</v>
      </c>
      <c r="H22" s="41">
        <f t="shared" si="1"/>
        <v>0.7301028872457459</v>
      </c>
      <c r="I22" s="61">
        <f t="shared" si="2"/>
        <v>-27.652085909999983</v>
      </c>
      <c r="J22" s="63">
        <f t="shared" si="3"/>
        <v>-2.851600103312753</v>
      </c>
    </row>
    <row r="23" spans="1:10" ht="23.25">
      <c r="A23" s="3">
        <v>17</v>
      </c>
      <c r="B23" s="33" t="s">
        <v>51</v>
      </c>
      <c r="C23" s="4">
        <v>23</v>
      </c>
      <c r="D23" s="20">
        <f>879565042.55/1000000</f>
        <v>879.5650425499999</v>
      </c>
      <c r="E23" s="41">
        <f t="shared" si="0"/>
        <v>0.6753310257485653</v>
      </c>
      <c r="F23" s="4">
        <v>20</v>
      </c>
      <c r="G23" s="20">
        <v>479.20533423</v>
      </c>
      <c r="H23" s="41">
        <f t="shared" si="1"/>
        <v>0.3607999211014467</v>
      </c>
      <c r="I23" s="61">
        <f t="shared" si="2"/>
        <v>400.3597083199999</v>
      </c>
      <c r="J23" s="63">
        <f t="shared" si="3"/>
        <v>83.54658842921869</v>
      </c>
    </row>
    <row r="24" spans="1:10" ht="23.25">
      <c r="A24" s="3">
        <v>18</v>
      </c>
      <c r="B24" s="32" t="s">
        <v>52</v>
      </c>
      <c r="C24" s="39">
        <v>11</v>
      </c>
      <c r="D24" s="40">
        <f>815829592.42/1000000</f>
        <v>815.8295924199999</v>
      </c>
      <c r="E24" s="41">
        <f t="shared" si="0"/>
        <v>0.6263948756850608</v>
      </c>
      <c r="F24" s="39">
        <v>11</v>
      </c>
      <c r="G24" s="40">
        <v>801.35733406</v>
      </c>
      <c r="H24" s="41">
        <f t="shared" si="1"/>
        <v>0.6033523465833179</v>
      </c>
      <c r="I24" s="61">
        <f t="shared" si="2"/>
        <v>14.472258359999955</v>
      </c>
      <c r="J24" s="63">
        <f t="shared" si="3"/>
        <v>1.8059681673689372</v>
      </c>
    </row>
    <row r="25" spans="1:10" ht="23.25">
      <c r="A25" s="21">
        <v>19</v>
      </c>
      <c r="B25" s="32" t="s">
        <v>16</v>
      </c>
      <c r="C25" s="4">
        <v>84</v>
      </c>
      <c r="D25" s="20">
        <f>625516527.59/1000000</f>
        <v>625.51652759</v>
      </c>
      <c r="E25" s="41">
        <f t="shared" si="0"/>
        <v>0.48027229114897646</v>
      </c>
      <c r="F25" s="4">
        <v>84</v>
      </c>
      <c r="G25" s="20">
        <v>624.59310783</v>
      </c>
      <c r="H25" s="41">
        <f t="shared" si="1"/>
        <v>0.4702642644570618</v>
      </c>
      <c r="I25" s="61">
        <f t="shared" si="2"/>
        <v>0.9234197600000016</v>
      </c>
      <c r="J25" s="63">
        <f t="shared" si="3"/>
        <v>0.14784341172258586</v>
      </c>
    </row>
    <row r="26" spans="1:10" ht="23.25">
      <c r="A26" s="21">
        <v>20</v>
      </c>
      <c r="B26" s="32" t="s">
        <v>34</v>
      </c>
      <c r="C26" s="54">
        <v>2</v>
      </c>
      <c r="D26" s="40">
        <f>214670654.57/1000000</f>
        <v>214.67065456999998</v>
      </c>
      <c r="E26" s="41">
        <f t="shared" si="0"/>
        <v>0.16482436924570343</v>
      </c>
      <c r="F26" s="54">
        <v>2</v>
      </c>
      <c r="G26" s="40">
        <v>211.9554051</v>
      </c>
      <c r="H26" s="41">
        <f t="shared" si="1"/>
        <v>0.15958397783694298</v>
      </c>
      <c r="I26" s="61">
        <f t="shared" si="2"/>
        <v>2.715249469999975</v>
      </c>
      <c r="J26" s="63">
        <f t="shared" si="3"/>
        <v>1.2810475244634254</v>
      </c>
    </row>
    <row r="27" spans="1:10" ht="23.25">
      <c r="A27" s="21">
        <v>21</v>
      </c>
      <c r="B27" s="32" t="s">
        <v>35</v>
      </c>
      <c r="C27" s="54">
        <v>6</v>
      </c>
      <c r="D27" s="20">
        <f>214360002.21/1000000</f>
        <v>214.36000221</v>
      </c>
      <c r="E27" s="41">
        <f t="shared" si="0"/>
        <v>0.16458585001542367</v>
      </c>
      <c r="F27" s="54">
        <v>5</v>
      </c>
      <c r="G27" s="20">
        <v>202.22754856</v>
      </c>
      <c r="H27" s="45">
        <f t="shared" si="1"/>
        <v>0.15225974828144806</v>
      </c>
      <c r="I27" s="61">
        <f t="shared" si="2"/>
        <v>12.132453650000002</v>
      </c>
      <c r="J27" s="63">
        <f t="shared" si="3"/>
        <v>5.999406973180194</v>
      </c>
    </row>
    <row r="28" spans="1:10" ht="23.25">
      <c r="A28" s="21">
        <v>22</v>
      </c>
      <c r="B28" s="32" t="s">
        <v>72</v>
      </c>
      <c r="C28" s="54">
        <v>2</v>
      </c>
      <c r="D28" s="20">
        <f>1078898.86/1000000</f>
        <v>1.07889886</v>
      </c>
      <c r="E28" s="41">
        <f t="shared" si="0"/>
        <v>0.0008283797542594343</v>
      </c>
      <c r="F28" s="54">
        <v>2</v>
      </c>
      <c r="G28" s="20">
        <v>1.06614071</v>
      </c>
      <c r="H28" s="45">
        <f t="shared" si="1"/>
        <v>0.0008027111899101206</v>
      </c>
      <c r="I28" s="61">
        <f t="shared" si="2"/>
        <v>0.012758150000000024</v>
      </c>
      <c r="J28" s="63">
        <f t="shared" si="3"/>
        <v>1.1966666201124636</v>
      </c>
    </row>
    <row r="29" spans="1:10" ht="23.25">
      <c r="A29" s="21">
        <v>23</v>
      </c>
      <c r="B29" s="32" t="s">
        <v>58</v>
      </c>
      <c r="C29" s="54">
        <v>0</v>
      </c>
      <c r="D29" s="42">
        <v>0</v>
      </c>
      <c r="E29" s="41">
        <f t="shared" si="0"/>
        <v>0</v>
      </c>
      <c r="F29" s="54"/>
      <c r="G29" s="20"/>
      <c r="H29" s="45">
        <f t="shared" si="1"/>
        <v>0</v>
      </c>
      <c r="I29" s="61">
        <f t="shared" si="2"/>
        <v>0</v>
      </c>
      <c r="J29" s="63">
        <v>0</v>
      </c>
    </row>
    <row r="30" spans="1:10" ht="24" thickBot="1">
      <c r="A30" s="21">
        <v>24</v>
      </c>
      <c r="B30" s="32" t="s">
        <v>23</v>
      </c>
      <c r="C30" s="5"/>
      <c r="D30" s="42"/>
      <c r="E30" s="41">
        <f t="shared" si="0"/>
        <v>0</v>
      </c>
      <c r="F30" s="53"/>
      <c r="G30" s="58"/>
      <c r="H30" s="45">
        <f t="shared" si="1"/>
        <v>0</v>
      </c>
      <c r="I30" s="61">
        <f t="shared" si="2"/>
        <v>0</v>
      </c>
      <c r="J30" s="63">
        <v>0</v>
      </c>
    </row>
    <row r="31" spans="1:11" ht="24" thickBot="1">
      <c r="A31" s="70" t="s">
        <v>11</v>
      </c>
      <c r="B31" s="71"/>
      <c r="C31" s="6">
        <f aca="true" t="shared" si="4" ref="C31:I31">SUM(C7:C30)</f>
        <v>1324</v>
      </c>
      <c r="D31" s="37">
        <f t="shared" si="4"/>
        <v>130242.06041401002</v>
      </c>
      <c r="E31" s="38">
        <f t="shared" si="4"/>
        <v>100</v>
      </c>
      <c r="F31" s="6">
        <f t="shared" si="4"/>
        <v>1336</v>
      </c>
      <c r="G31" s="59">
        <f t="shared" si="4"/>
        <v>132817.47201249</v>
      </c>
      <c r="H31" s="60">
        <f t="shared" si="4"/>
        <v>100.00000000000001</v>
      </c>
      <c r="I31" s="43">
        <f t="shared" si="4"/>
        <v>-2575.4115984800037</v>
      </c>
      <c r="J31" s="66">
        <f>(D31-G31)/G31*100</f>
        <v>-1.9390608475350273</v>
      </c>
      <c r="K31" s="7"/>
    </row>
    <row r="32" spans="1:11" ht="5.25" customHeight="1">
      <c r="A32" s="22"/>
      <c r="B32" s="34"/>
      <c r="C32" s="23"/>
      <c r="D32" s="24"/>
      <c r="E32" s="25"/>
      <c r="F32" s="23"/>
      <c r="G32" s="24"/>
      <c r="H32" s="25"/>
      <c r="I32" s="26"/>
      <c r="J32" s="27"/>
      <c r="K32" s="7"/>
    </row>
    <row r="33" spans="2:10" ht="21">
      <c r="B33" s="35" t="s">
        <v>62</v>
      </c>
      <c r="H33" s="17" t="s">
        <v>10</v>
      </c>
      <c r="J33" s="18"/>
    </row>
    <row r="34" spans="2:10" ht="21">
      <c r="B34" s="68" t="s">
        <v>54</v>
      </c>
      <c r="H34" s="17" t="s">
        <v>9</v>
      </c>
      <c r="J34" s="18"/>
    </row>
    <row r="35" spans="2:10" ht="21">
      <c r="B35" s="67"/>
      <c r="H35" s="17"/>
      <c r="J35" s="18"/>
    </row>
    <row r="36" spans="2:10" ht="21">
      <c r="B36" s="67"/>
      <c r="H36" s="17"/>
      <c r="J36" s="18"/>
    </row>
    <row r="38" ht="21">
      <c r="F38" s="64"/>
    </row>
  </sheetData>
  <mergeCells count="6">
    <mergeCell ref="A31:B31"/>
    <mergeCell ref="F4:H4"/>
    <mergeCell ref="A1:J1"/>
    <mergeCell ref="A2:J2"/>
    <mergeCell ref="C4:E4"/>
    <mergeCell ref="I4:J4"/>
  </mergeCells>
  <printOptions horizontalCentered="1" verticalCentered="1"/>
  <pageMargins left="0.1968503937007874" right="0.1968503937007874" top="0.17" bottom="0.17" header="0.25" footer="0.15748031496062992"/>
  <pageSetup fitToHeight="1" fitToWidth="1" horizontalDpi="1200" verticalDpi="1200" orientation="landscape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zoomScale="75" zoomScaleNormal="75" workbookViewId="0" topLeftCell="A8">
      <selection activeCell="C10" sqref="C10"/>
    </sheetView>
  </sheetViews>
  <sheetFormatPr defaultColWidth="9.140625" defaultRowHeight="21.75"/>
  <cols>
    <col min="1" max="1" width="6.57421875" style="1" customWidth="1"/>
    <col min="2" max="2" width="55.7109375" style="35" customWidth="1"/>
    <col min="3" max="3" width="11.00390625" style="1" customWidth="1"/>
    <col min="4" max="4" width="14.8515625" style="1" customWidth="1"/>
    <col min="5" max="5" width="10.421875" style="1" customWidth="1"/>
    <col min="6" max="6" width="10.7109375" style="1" customWidth="1"/>
    <col min="7" max="7" width="14.7109375" style="1" customWidth="1"/>
    <col min="8" max="8" width="10.00390625" style="1" customWidth="1"/>
    <col min="9" max="9" width="15.00390625" style="1" customWidth="1"/>
    <col min="10" max="10" width="10.28125" style="1" customWidth="1"/>
    <col min="11" max="16384" width="9.140625" style="1" customWidth="1"/>
  </cols>
  <sheetData>
    <row r="1" spans="1:10" ht="23.25">
      <c r="A1" s="75" t="s">
        <v>12</v>
      </c>
      <c r="B1" s="76"/>
      <c r="C1" s="76"/>
      <c r="D1" s="76"/>
      <c r="E1" s="76"/>
      <c r="F1" s="76"/>
      <c r="G1" s="76"/>
      <c r="H1" s="76"/>
      <c r="I1" s="76"/>
      <c r="J1" s="76"/>
    </row>
    <row r="2" spans="1:10" ht="23.25">
      <c r="A2" s="75" t="s">
        <v>63</v>
      </c>
      <c r="B2" s="76"/>
      <c r="C2" s="76"/>
      <c r="D2" s="76"/>
      <c r="E2" s="76"/>
      <c r="F2" s="76"/>
      <c r="G2" s="76"/>
      <c r="H2" s="76"/>
      <c r="I2" s="76"/>
      <c r="J2" s="76"/>
    </row>
    <row r="3" spans="1:10" ht="5.25" customHeight="1" thickBot="1">
      <c r="A3" s="19"/>
      <c r="B3" s="28"/>
      <c r="C3" s="2"/>
      <c r="D3" s="19"/>
      <c r="E3" s="19"/>
      <c r="F3" s="2"/>
      <c r="G3" s="2"/>
      <c r="H3" s="2"/>
      <c r="I3" s="19"/>
      <c r="J3" s="19"/>
    </row>
    <row r="4" spans="1:10" ht="22.5" customHeight="1" thickBot="1">
      <c r="A4" s="8"/>
      <c r="B4" s="29"/>
      <c r="C4" s="72" t="s">
        <v>64</v>
      </c>
      <c r="D4" s="73"/>
      <c r="E4" s="74"/>
      <c r="F4" s="72" t="s">
        <v>61</v>
      </c>
      <c r="G4" s="73"/>
      <c r="H4" s="74"/>
      <c r="I4" s="77" t="s">
        <v>8</v>
      </c>
      <c r="J4" s="74"/>
    </row>
    <row r="5" spans="1:10" ht="23.25">
      <c r="A5" s="9" t="s">
        <v>0</v>
      </c>
      <c r="B5" s="30" t="s">
        <v>1</v>
      </c>
      <c r="C5" s="10" t="s">
        <v>2</v>
      </c>
      <c r="D5" s="11" t="s">
        <v>5</v>
      </c>
      <c r="E5" s="12" t="s">
        <v>3</v>
      </c>
      <c r="F5" s="10" t="s">
        <v>2</v>
      </c>
      <c r="G5" s="11" t="s">
        <v>5</v>
      </c>
      <c r="H5" s="56" t="s">
        <v>3</v>
      </c>
      <c r="I5" s="10" t="s">
        <v>5</v>
      </c>
      <c r="J5" s="56" t="s">
        <v>7</v>
      </c>
    </row>
    <row r="6" spans="1:10" ht="24" thickBot="1">
      <c r="A6" s="13"/>
      <c r="B6" s="31"/>
      <c r="C6" s="14" t="s">
        <v>4</v>
      </c>
      <c r="D6" s="15" t="s">
        <v>6</v>
      </c>
      <c r="E6" s="16"/>
      <c r="F6" s="14" t="s">
        <v>4</v>
      </c>
      <c r="G6" s="15" t="s">
        <v>6</v>
      </c>
      <c r="H6" s="57"/>
      <c r="I6" s="14" t="s">
        <v>6</v>
      </c>
      <c r="J6" s="57"/>
    </row>
    <row r="7" spans="1:10" ht="23.25">
      <c r="A7" s="3">
        <v>1</v>
      </c>
      <c r="B7" s="32" t="s">
        <v>22</v>
      </c>
      <c r="C7" s="39">
        <v>203</v>
      </c>
      <c r="D7" s="20">
        <f>28923417671.85/1000000</f>
        <v>28923.41767185</v>
      </c>
      <c r="E7" s="41">
        <f aca="true" t="shared" si="0" ref="E7:E30">(D7/$D$31)*100</f>
        <v>22.21520617561833</v>
      </c>
      <c r="F7" s="39">
        <v>205</v>
      </c>
      <c r="G7" s="20">
        <v>30094.071224509997</v>
      </c>
      <c r="H7" s="44">
        <f aca="true" t="shared" si="1" ref="H7:H30">(G7/$G$31)*100</f>
        <v>23.10626162458407</v>
      </c>
      <c r="I7" s="61">
        <f aca="true" t="shared" si="2" ref="I7:I30">(D7-G7)</f>
        <v>-1170.6535526599982</v>
      </c>
      <c r="J7" s="62">
        <f aca="true" t="shared" si="3" ref="J7:J28">(D7-G7)/G7*100</f>
        <v>-3.8899806673766495</v>
      </c>
    </row>
    <row r="8" spans="1:10" ht="23.25">
      <c r="A8" s="3">
        <v>2</v>
      </c>
      <c r="B8" s="32" t="s">
        <v>19</v>
      </c>
      <c r="C8" s="4">
        <v>128</v>
      </c>
      <c r="D8" s="20">
        <f>22193205920.48/1000000</f>
        <v>22193.20592048</v>
      </c>
      <c r="E8" s="41">
        <f t="shared" si="0"/>
        <v>17.045933188637648</v>
      </c>
      <c r="F8" s="4">
        <v>125</v>
      </c>
      <c r="G8" s="20">
        <v>20958.16097179</v>
      </c>
      <c r="H8" s="41">
        <f t="shared" si="1"/>
        <v>16.091699490294264</v>
      </c>
      <c r="I8" s="61">
        <f t="shared" si="2"/>
        <v>1235.0449486899997</v>
      </c>
      <c r="J8" s="63">
        <f t="shared" si="3"/>
        <v>5.892907065426154</v>
      </c>
    </row>
    <row r="9" spans="1:10" ht="23.25">
      <c r="A9" s="3">
        <v>3</v>
      </c>
      <c r="B9" s="32" t="s">
        <v>14</v>
      </c>
      <c r="C9" s="39">
        <v>32</v>
      </c>
      <c r="D9" s="20">
        <f>(670589284.08+16574119598.5)/1000000</f>
        <v>17244.708882580002</v>
      </c>
      <c r="E9" s="41">
        <f t="shared" si="0"/>
        <v>13.245141622315343</v>
      </c>
      <c r="F9" s="39">
        <v>33</v>
      </c>
      <c r="G9" s="20">
        <v>17159.81410919</v>
      </c>
      <c r="H9" s="41">
        <f t="shared" si="1"/>
        <v>13.175324510870634</v>
      </c>
      <c r="I9" s="61">
        <f t="shared" si="2"/>
        <v>84.89477339000223</v>
      </c>
      <c r="J9" s="63">
        <f t="shared" si="3"/>
        <v>0.4947301459666543</v>
      </c>
    </row>
    <row r="10" spans="1:10" ht="23.25">
      <c r="A10" s="3">
        <v>4</v>
      </c>
      <c r="B10" s="32" t="s">
        <v>17</v>
      </c>
      <c r="C10" s="39">
        <v>47</v>
      </c>
      <c r="D10" s="20">
        <f>15409056951.16/1000000</f>
        <v>15409.05695116</v>
      </c>
      <c r="E10" s="41">
        <f t="shared" si="0"/>
        <v>11.83523264869995</v>
      </c>
      <c r="F10" s="39">
        <v>48</v>
      </c>
      <c r="G10" s="20">
        <v>15562.34027759</v>
      </c>
      <c r="H10" s="41">
        <f t="shared" si="1"/>
        <v>11.948782312043317</v>
      </c>
      <c r="I10" s="61">
        <f t="shared" si="2"/>
        <v>-153.28332642999885</v>
      </c>
      <c r="J10" s="63">
        <f t="shared" si="3"/>
        <v>-0.9849632105187233</v>
      </c>
    </row>
    <row r="11" spans="1:10" ht="23.25">
      <c r="A11" s="3">
        <v>5</v>
      </c>
      <c r="B11" s="32" t="s">
        <v>21</v>
      </c>
      <c r="C11" s="4">
        <v>10</v>
      </c>
      <c r="D11" s="20">
        <f>7485307.57/1000</f>
        <v>7485.30757</v>
      </c>
      <c r="E11" s="41">
        <f t="shared" si="0"/>
        <v>5.749239347924908</v>
      </c>
      <c r="F11" s="4">
        <v>10</v>
      </c>
      <c r="G11" s="20">
        <v>7273.97961</v>
      </c>
      <c r="H11" s="41">
        <f t="shared" si="1"/>
        <v>5.584969699402532</v>
      </c>
      <c r="I11" s="61">
        <f t="shared" si="2"/>
        <v>211.32795999999962</v>
      </c>
      <c r="J11" s="63">
        <f t="shared" si="3"/>
        <v>2.905259174901641</v>
      </c>
    </row>
    <row r="12" spans="1:10" ht="23.25">
      <c r="A12" s="3">
        <v>6</v>
      </c>
      <c r="B12" s="32" t="s">
        <v>30</v>
      </c>
      <c r="C12" s="4">
        <v>322</v>
      </c>
      <c r="D12" s="20">
        <f>7270.57</f>
        <v>7270.57</v>
      </c>
      <c r="E12" s="41">
        <f t="shared" si="0"/>
        <v>5.58430588655723</v>
      </c>
      <c r="F12" s="4">
        <v>382</v>
      </c>
      <c r="G12" s="20">
        <v>7707.64</v>
      </c>
      <c r="H12" s="41">
        <f t="shared" si="1"/>
        <v>5.91793463302036</v>
      </c>
      <c r="I12" s="61">
        <f t="shared" si="2"/>
        <v>-437.0700000000006</v>
      </c>
      <c r="J12" s="63">
        <f t="shared" si="3"/>
        <v>-5.670607345439079</v>
      </c>
    </row>
    <row r="13" spans="1:10" ht="23.25">
      <c r="A13" s="3">
        <v>7</v>
      </c>
      <c r="B13" s="33" t="s">
        <v>26</v>
      </c>
      <c r="C13" s="5">
        <v>16</v>
      </c>
      <c r="D13" s="20">
        <f>6445436600.32/1000000</f>
        <v>6445.436600319999</v>
      </c>
      <c r="E13" s="41">
        <f t="shared" si="0"/>
        <v>4.950545768570882</v>
      </c>
      <c r="F13" s="5">
        <v>18</v>
      </c>
      <c r="G13" s="20">
        <v>6133.25194533</v>
      </c>
      <c r="H13" s="41">
        <f t="shared" si="1"/>
        <v>4.709117719601318</v>
      </c>
      <c r="I13" s="61">
        <f t="shared" si="2"/>
        <v>312.1846549899992</v>
      </c>
      <c r="J13" s="63">
        <f t="shared" si="3"/>
        <v>5.090034744581198</v>
      </c>
    </row>
    <row r="14" spans="1:10" ht="23.25">
      <c r="A14" s="3">
        <v>8</v>
      </c>
      <c r="B14" s="33" t="s">
        <v>20</v>
      </c>
      <c r="C14" s="5">
        <v>110</v>
      </c>
      <c r="D14" s="20">
        <v>3982.82</v>
      </c>
      <c r="E14" s="41">
        <f t="shared" si="0"/>
        <v>3.059084111850635</v>
      </c>
      <c r="F14" s="5">
        <v>110</v>
      </c>
      <c r="G14" s="20">
        <v>4125.58</v>
      </c>
      <c r="H14" s="41">
        <f t="shared" si="1"/>
        <v>3.1676249491797925</v>
      </c>
      <c r="I14" s="61">
        <f t="shared" si="2"/>
        <v>-142.75999999999976</v>
      </c>
      <c r="J14" s="63">
        <f t="shared" si="3"/>
        <v>-3.460361936988248</v>
      </c>
    </row>
    <row r="15" spans="1:10" ht="23.25">
      <c r="A15" s="3">
        <v>9</v>
      </c>
      <c r="B15" s="32" t="s">
        <v>24</v>
      </c>
      <c r="C15" s="39">
        <v>66</v>
      </c>
      <c r="D15" s="20">
        <v>3430.23</v>
      </c>
      <c r="E15" s="41">
        <f t="shared" si="0"/>
        <v>2.6346563723676697</v>
      </c>
      <c r="F15" s="39">
        <v>66</v>
      </c>
      <c r="G15" s="20">
        <v>3304</v>
      </c>
      <c r="H15" s="41">
        <f t="shared" si="1"/>
        <v>2.536814904108037</v>
      </c>
      <c r="I15" s="61">
        <f t="shared" si="2"/>
        <v>126.23000000000002</v>
      </c>
      <c r="J15" s="63">
        <f t="shared" si="3"/>
        <v>3.8205205811138017</v>
      </c>
    </row>
    <row r="16" spans="1:10" ht="23.25">
      <c r="A16" s="3">
        <v>10</v>
      </c>
      <c r="B16" s="32" t="s">
        <v>57</v>
      </c>
      <c r="C16" s="39">
        <v>3</v>
      </c>
      <c r="D16" s="40">
        <f>3271065203.81/1000000</f>
        <v>3271.0652038099997</v>
      </c>
      <c r="E16" s="41">
        <f t="shared" si="0"/>
        <v>2.512406685163434</v>
      </c>
      <c r="F16" s="39">
        <v>2</v>
      </c>
      <c r="G16" s="40">
        <v>2970.4723439299996</v>
      </c>
      <c r="H16" s="41">
        <f t="shared" si="1"/>
        <v>2.280731995860278</v>
      </c>
      <c r="I16" s="61">
        <f t="shared" si="2"/>
        <v>300.5928598800001</v>
      </c>
      <c r="J16" s="63">
        <f t="shared" si="3"/>
        <v>10.119362346336786</v>
      </c>
    </row>
    <row r="17" spans="1:10" ht="23.25">
      <c r="A17" s="3">
        <v>11</v>
      </c>
      <c r="B17" s="32" t="s">
        <v>31</v>
      </c>
      <c r="C17" s="5">
        <v>50</v>
      </c>
      <c r="D17" s="20">
        <f>3251263962.38/1000000</f>
        <v>3251.26396238</v>
      </c>
      <c r="E17" s="41">
        <f t="shared" si="0"/>
        <v>2.4971979478734156</v>
      </c>
      <c r="F17" s="5">
        <v>51</v>
      </c>
      <c r="G17" s="20">
        <v>3550.20003159</v>
      </c>
      <c r="H17" s="41">
        <f t="shared" si="1"/>
        <v>2.7258475643772204</v>
      </c>
      <c r="I17" s="61">
        <f t="shared" si="2"/>
        <v>-298.9360692099999</v>
      </c>
      <c r="J17" s="63">
        <f t="shared" si="3"/>
        <v>-8.420259888176435</v>
      </c>
    </row>
    <row r="18" spans="1:10" ht="23.25">
      <c r="A18" s="3">
        <v>12</v>
      </c>
      <c r="B18" s="32" t="s">
        <v>46</v>
      </c>
      <c r="C18" s="54">
        <v>54</v>
      </c>
      <c r="D18" s="20">
        <f>2281113997.75/1000000</f>
        <v>2281.11399775</v>
      </c>
      <c r="E18" s="41">
        <f t="shared" si="0"/>
        <v>1.752054973068607</v>
      </c>
      <c r="F18" s="39">
        <v>54</v>
      </c>
      <c r="G18" s="20">
        <v>2314.13110835</v>
      </c>
      <c r="H18" s="41">
        <f t="shared" si="1"/>
        <v>1.7767924593590592</v>
      </c>
      <c r="I18" s="61">
        <f t="shared" si="2"/>
        <v>-33.017110599999796</v>
      </c>
      <c r="J18" s="63">
        <f t="shared" si="3"/>
        <v>-1.4267605876289935</v>
      </c>
    </row>
    <row r="19" spans="1:10" ht="23.25">
      <c r="A19" s="3">
        <v>13</v>
      </c>
      <c r="B19" s="32" t="s">
        <v>36</v>
      </c>
      <c r="C19" s="4">
        <v>35</v>
      </c>
      <c r="D19" s="20">
        <v>1938.98</v>
      </c>
      <c r="E19" s="41">
        <f t="shared" si="0"/>
        <v>1.4892721516905467</v>
      </c>
      <c r="F19" s="4">
        <v>45</v>
      </c>
      <c r="G19" s="20">
        <v>2025.61</v>
      </c>
      <c r="H19" s="41">
        <f t="shared" si="1"/>
        <v>1.55526562890747</v>
      </c>
      <c r="I19" s="61">
        <f t="shared" si="2"/>
        <v>-86.62999999999988</v>
      </c>
      <c r="J19" s="63">
        <f t="shared" si="3"/>
        <v>-4.276736390519393</v>
      </c>
    </row>
    <row r="20" spans="1:10" ht="23.25">
      <c r="A20" s="3">
        <v>14</v>
      </c>
      <c r="B20" s="32" t="s">
        <v>33</v>
      </c>
      <c r="C20" s="4">
        <v>3</v>
      </c>
      <c r="D20" s="20">
        <f>1698392487.53/1000000</f>
        <v>1698.39248753</v>
      </c>
      <c r="E20" s="41">
        <f t="shared" si="0"/>
        <v>1.3044841279017128</v>
      </c>
      <c r="F20" s="4">
        <v>3</v>
      </c>
      <c r="G20" s="20">
        <v>1778.8448074100002</v>
      </c>
      <c r="H20" s="41">
        <f t="shared" si="1"/>
        <v>1.365799037388886</v>
      </c>
      <c r="I20" s="61">
        <f t="shared" si="2"/>
        <v>-80.45231988000023</v>
      </c>
      <c r="J20" s="63">
        <f t="shared" si="3"/>
        <v>-4.522728432793353</v>
      </c>
    </row>
    <row r="21" spans="1:10" ht="23.25">
      <c r="A21" s="46">
        <v>15</v>
      </c>
      <c r="B21" s="32" t="s">
        <v>52</v>
      </c>
      <c r="C21" s="39">
        <v>12</v>
      </c>
      <c r="D21" s="40">
        <f>1501918499.64/1000000</f>
        <v>1501.9184996400002</v>
      </c>
      <c r="E21" s="41">
        <f t="shared" si="0"/>
        <v>1.1535783740021561</v>
      </c>
      <c r="F21" s="39">
        <v>11</v>
      </c>
      <c r="G21" s="40">
        <v>815.8295924199999</v>
      </c>
      <c r="H21" s="41">
        <f t="shared" si="1"/>
        <v>0.6263948756850608</v>
      </c>
      <c r="I21" s="61">
        <f t="shared" si="2"/>
        <v>686.0889072200002</v>
      </c>
      <c r="J21" s="63">
        <f t="shared" si="3"/>
        <v>84.09708517496293</v>
      </c>
    </row>
    <row r="22" spans="1:10" ht="23.25">
      <c r="A22" s="3">
        <v>16</v>
      </c>
      <c r="B22" s="32" t="s">
        <v>51</v>
      </c>
      <c r="C22" s="4">
        <v>32</v>
      </c>
      <c r="D22" s="20">
        <f>1225333621.39/1000000</f>
        <v>1225.3336213900002</v>
      </c>
      <c r="E22" s="41">
        <f t="shared" si="0"/>
        <v>0.9411418575056242</v>
      </c>
      <c r="F22" s="4">
        <v>23</v>
      </c>
      <c r="G22" s="20">
        <v>879.5650425499999</v>
      </c>
      <c r="H22" s="41">
        <f t="shared" si="1"/>
        <v>0.6753310257485653</v>
      </c>
      <c r="I22" s="61">
        <f t="shared" si="2"/>
        <v>345.76857884000026</v>
      </c>
      <c r="J22" s="63">
        <f t="shared" si="3"/>
        <v>39.31131435573676</v>
      </c>
    </row>
    <row r="23" spans="1:10" ht="23.25">
      <c r="A23" s="3">
        <v>17</v>
      </c>
      <c r="B23" s="33" t="s">
        <v>32</v>
      </c>
      <c r="C23" s="4">
        <v>36</v>
      </c>
      <c r="D23" s="20">
        <f>914596077.39/1000000</f>
        <v>914.59607739</v>
      </c>
      <c r="E23" s="41">
        <f t="shared" si="0"/>
        <v>0.7024737068470738</v>
      </c>
      <c r="F23" s="4">
        <v>37</v>
      </c>
      <c r="G23" s="20">
        <v>942.05211202</v>
      </c>
      <c r="H23" s="41">
        <f t="shared" si="1"/>
        <v>0.7233086677417645</v>
      </c>
      <c r="I23" s="61">
        <f t="shared" si="2"/>
        <v>-27.456034629999976</v>
      </c>
      <c r="J23" s="63">
        <f t="shared" si="3"/>
        <v>-2.914492126250557</v>
      </c>
    </row>
    <row r="24" spans="1:10" ht="23.25">
      <c r="A24" s="3">
        <v>18</v>
      </c>
      <c r="B24" s="32" t="s">
        <v>16</v>
      </c>
      <c r="C24" s="4">
        <v>79</v>
      </c>
      <c r="D24" s="20">
        <f>612019651.75/1000000</f>
        <v>612.01965175</v>
      </c>
      <c r="E24" s="41">
        <f t="shared" si="0"/>
        <v>0.4700738654543221</v>
      </c>
      <c r="F24" s="4">
        <v>84</v>
      </c>
      <c r="G24" s="20">
        <v>625.51652759</v>
      </c>
      <c r="H24" s="41">
        <f t="shared" si="1"/>
        <v>0.48027229114897646</v>
      </c>
      <c r="I24" s="61">
        <f t="shared" si="2"/>
        <v>-13.49687584000003</v>
      </c>
      <c r="J24" s="63">
        <f t="shared" si="3"/>
        <v>-2.157716901902018</v>
      </c>
    </row>
    <row r="25" spans="1:10" ht="23.25">
      <c r="A25" s="21">
        <v>19</v>
      </c>
      <c r="B25" s="32" t="s">
        <v>25</v>
      </c>
      <c r="C25" s="4">
        <v>6</v>
      </c>
      <c r="D25" s="20">
        <f>591238104.37/1000000</f>
        <v>591.23810437</v>
      </c>
      <c r="E25" s="41">
        <f t="shared" si="0"/>
        <v>0.45411218468295184</v>
      </c>
      <c r="F25" s="4">
        <v>7</v>
      </c>
      <c r="G25" s="20">
        <v>1590.8911541</v>
      </c>
      <c r="H25" s="41">
        <f t="shared" si="1"/>
        <v>1.2214880116629891</v>
      </c>
      <c r="I25" s="61">
        <f t="shared" si="2"/>
        <v>-999.65304973</v>
      </c>
      <c r="J25" s="63">
        <f t="shared" si="3"/>
        <v>-62.83604300355321</v>
      </c>
    </row>
    <row r="26" spans="1:10" ht="23.25">
      <c r="A26" s="21">
        <v>20</v>
      </c>
      <c r="B26" s="32" t="s">
        <v>34</v>
      </c>
      <c r="C26" s="54">
        <v>3</v>
      </c>
      <c r="D26" s="40">
        <f>313404771.67/1000000</f>
        <v>313.40477167</v>
      </c>
      <c r="E26" s="41">
        <f t="shared" si="0"/>
        <v>0.2407167679166703</v>
      </c>
      <c r="F26" s="54">
        <v>2</v>
      </c>
      <c r="G26" s="40">
        <v>214.67065456999998</v>
      </c>
      <c r="H26" s="41">
        <f t="shared" si="1"/>
        <v>0.16482436924570343</v>
      </c>
      <c r="I26" s="61">
        <f t="shared" si="2"/>
        <v>98.73411710000002</v>
      </c>
      <c r="J26" s="63">
        <f t="shared" si="3"/>
        <v>45.99329950233357</v>
      </c>
    </row>
    <row r="27" spans="1:10" ht="23.25">
      <c r="A27" s="21">
        <v>21</v>
      </c>
      <c r="B27" s="32" t="s">
        <v>35</v>
      </c>
      <c r="C27" s="54">
        <v>6</v>
      </c>
      <c r="D27" s="20">
        <f>205413035.26/1000000</f>
        <v>205.41303526</v>
      </c>
      <c r="E27" s="41">
        <f t="shared" si="0"/>
        <v>0.15777156701304104</v>
      </c>
      <c r="F27" s="54">
        <v>6</v>
      </c>
      <c r="G27" s="20">
        <v>214.36000221</v>
      </c>
      <c r="H27" s="45">
        <f t="shared" si="1"/>
        <v>0.16458585001542367</v>
      </c>
      <c r="I27" s="61">
        <f t="shared" si="2"/>
        <v>-8.946966950000018</v>
      </c>
      <c r="J27" s="63">
        <f t="shared" si="3"/>
        <v>-4.1738042814699305</v>
      </c>
    </row>
    <row r="28" spans="1:10" ht="23.25">
      <c r="A28" s="21">
        <v>22</v>
      </c>
      <c r="B28" s="32" t="s">
        <v>72</v>
      </c>
      <c r="C28" s="54">
        <v>4</v>
      </c>
      <c r="D28" s="20">
        <f>6992421.42/1000000</f>
        <v>6.99242142</v>
      </c>
      <c r="E28" s="41">
        <f t="shared" si="0"/>
        <v>0.0053706683378325045</v>
      </c>
      <c r="F28" s="54">
        <v>2</v>
      </c>
      <c r="G28" s="20">
        <v>1.07889886</v>
      </c>
      <c r="H28" s="45">
        <f t="shared" si="1"/>
        <v>0.0008283797542594343</v>
      </c>
      <c r="I28" s="61">
        <f t="shared" si="2"/>
        <v>5.9135225600000005</v>
      </c>
      <c r="J28" s="63">
        <f t="shared" si="3"/>
        <v>548.1072210976291</v>
      </c>
    </row>
    <row r="29" spans="1:10" ht="23.25">
      <c r="A29" s="21">
        <v>23</v>
      </c>
      <c r="B29" s="32" t="s">
        <v>58</v>
      </c>
      <c r="C29" s="54">
        <v>0</v>
      </c>
      <c r="D29" s="42">
        <v>0</v>
      </c>
      <c r="E29" s="41">
        <f t="shared" si="0"/>
        <v>0</v>
      </c>
      <c r="F29" s="54">
        <v>0</v>
      </c>
      <c r="G29" s="20">
        <v>0</v>
      </c>
      <c r="H29" s="45">
        <f t="shared" si="1"/>
        <v>0</v>
      </c>
      <c r="I29" s="61">
        <f t="shared" si="2"/>
        <v>0</v>
      </c>
      <c r="J29" s="63">
        <v>0</v>
      </c>
    </row>
    <row r="30" spans="1:10" ht="24" thickBot="1">
      <c r="A30" s="21">
        <v>24</v>
      </c>
      <c r="B30" s="32" t="s">
        <v>23</v>
      </c>
      <c r="C30" s="5"/>
      <c r="D30" s="42"/>
      <c r="E30" s="41">
        <f t="shared" si="0"/>
        <v>0</v>
      </c>
      <c r="F30" s="53"/>
      <c r="G30" s="58"/>
      <c r="H30" s="45">
        <f t="shared" si="1"/>
        <v>0</v>
      </c>
      <c r="I30" s="61">
        <f t="shared" si="2"/>
        <v>0</v>
      </c>
      <c r="J30" s="63">
        <v>0</v>
      </c>
    </row>
    <row r="31" spans="1:11" ht="24" thickBot="1">
      <c r="A31" s="70" t="s">
        <v>11</v>
      </c>
      <c r="B31" s="71"/>
      <c r="C31" s="6">
        <f aca="true" t="shared" si="4" ref="C31:I31">SUM(C7:C30)</f>
        <v>1257</v>
      </c>
      <c r="D31" s="37">
        <f t="shared" si="4"/>
        <v>130196.48543075002</v>
      </c>
      <c r="E31" s="38">
        <f t="shared" si="4"/>
        <v>100</v>
      </c>
      <c r="F31" s="6">
        <f t="shared" si="4"/>
        <v>1324</v>
      </c>
      <c r="G31" s="59">
        <f t="shared" si="4"/>
        <v>130242.06041401002</v>
      </c>
      <c r="H31" s="60">
        <f t="shared" si="4"/>
        <v>100</v>
      </c>
      <c r="I31" s="43">
        <f t="shared" si="4"/>
        <v>-45.5749832599959</v>
      </c>
      <c r="J31" s="66">
        <f>(D31-G31)/G31*100</f>
        <v>-0.03499252324105218</v>
      </c>
      <c r="K31" s="7"/>
    </row>
    <row r="32" spans="1:11" ht="5.25" customHeight="1">
      <c r="A32" s="22"/>
      <c r="B32" s="34"/>
      <c r="C32" s="23"/>
      <c r="D32" s="24"/>
      <c r="E32" s="25"/>
      <c r="F32" s="23"/>
      <c r="G32" s="24"/>
      <c r="H32" s="25"/>
      <c r="I32" s="26"/>
      <c r="J32" s="27"/>
      <c r="K32" s="7"/>
    </row>
    <row r="33" spans="2:10" ht="21">
      <c r="B33" s="35" t="s">
        <v>65</v>
      </c>
      <c r="H33" s="17" t="s">
        <v>10</v>
      </c>
      <c r="J33" s="18"/>
    </row>
    <row r="34" spans="2:10" ht="21">
      <c r="B34" s="68" t="s">
        <v>54</v>
      </c>
      <c r="H34" s="17" t="s">
        <v>9</v>
      </c>
      <c r="J34" s="18"/>
    </row>
    <row r="35" spans="2:10" ht="21">
      <c r="B35" s="67"/>
      <c r="H35" s="17"/>
      <c r="J35" s="18"/>
    </row>
    <row r="36" spans="2:10" ht="21">
      <c r="B36" s="67"/>
      <c r="H36" s="17"/>
      <c r="J36" s="18"/>
    </row>
    <row r="38" ht="21">
      <c r="F38" s="64"/>
    </row>
  </sheetData>
  <mergeCells count="6">
    <mergeCell ref="A31:B31"/>
    <mergeCell ref="F4:H4"/>
    <mergeCell ref="A1:J1"/>
    <mergeCell ref="A2:J2"/>
    <mergeCell ref="C4:E4"/>
    <mergeCell ref="I4:J4"/>
  </mergeCells>
  <printOptions horizontalCentered="1" verticalCentered="1"/>
  <pageMargins left="0.1968503937007874" right="0.1968503937007874" top="0.17" bottom="0.17" header="0.25" footer="0.15748031496062992"/>
  <pageSetup fitToHeight="1" fitToWidth="1" horizontalDpi="1200" verticalDpi="1200" orientation="landscape" paperSize="9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zoomScale="75" zoomScaleNormal="75" workbookViewId="0" topLeftCell="A1">
      <selection activeCell="C26" sqref="C26"/>
    </sheetView>
  </sheetViews>
  <sheetFormatPr defaultColWidth="9.140625" defaultRowHeight="21.75"/>
  <cols>
    <col min="1" max="1" width="6.57421875" style="1" customWidth="1"/>
    <col min="2" max="2" width="55.7109375" style="35" customWidth="1"/>
    <col min="3" max="3" width="11.00390625" style="1" customWidth="1"/>
    <col min="4" max="4" width="14.8515625" style="1" customWidth="1"/>
    <col min="5" max="5" width="10.421875" style="1" customWidth="1"/>
    <col min="6" max="6" width="10.7109375" style="1" customWidth="1"/>
    <col min="7" max="7" width="14.7109375" style="1" customWidth="1"/>
    <col min="8" max="8" width="10.00390625" style="1" customWidth="1"/>
    <col min="9" max="9" width="15.00390625" style="1" customWidth="1"/>
    <col min="10" max="10" width="10.28125" style="1" customWidth="1"/>
    <col min="11" max="16384" width="9.140625" style="1" customWidth="1"/>
  </cols>
  <sheetData>
    <row r="1" spans="1:10" ht="23.25">
      <c r="A1" s="75" t="s">
        <v>12</v>
      </c>
      <c r="B1" s="76"/>
      <c r="C1" s="76"/>
      <c r="D1" s="76"/>
      <c r="E1" s="76"/>
      <c r="F1" s="76"/>
      <c r="G1" s="76"/>
      <c r="H1" s="76"/>
      <c r="I1" s="76"/>
      <c r="J1" s="76"/>
    </row>
    <row r="2" spans="1:10" ht="23.25">
      <c r="A2" s="75" t="s">
        <v>66</v>
      </c>
      <c r="B2" s="76"/>
      <c r="C2" s="76"/>
      <c r="D2" s="76"/>
      <c r="E2" s="76"/>
      <c r="F2" s="76"/>
      <c r="G2" s="76"/>
      <c r="H2" s="76"/>
      <c r="I2" s="76"/>
      <c r="J2" s="76"/>
    </row>
    <row r="3" spans="1:10" ht="5.25" customHeight="1" thickBot="1">
      <c r="A3" s="19"/>
      <c r="B3" s="28"/>
      <c r="C3" s="2"/>
      <c r="D3" s="19"/>
      <c r="E3" s="19"/>
      <c r="F3" s="2"/>
      <c r="G3" s="2"/>
      <c r="H3" s="2"/>
      <c r="I3" s="19"/>
      <c r="J3" s="19"/>
    </row>
    <row r="4" spans="1:10" ht="22.5" customHeight="1" thickBot="1">
      <c r="A4" s="8"/>
      <c r="B4" s="29"/>
      <c r="C4" s="72" t="s">
        <v>67</v>
      </c>
      <c r="D4" s="73"/>
      <c r="E4" s="74"/>
      <c r="F4" s="72" t="s">
        <v>64</v>
      </c>
      <c r="G4" s="73"/>
      <c r="H4" s="74"/>
      <c r="I4" s="77" t="s">
        <v>8</v>
      </c>
      <c r="J4" s="74"/>
    </row>
    <row r="5" spans="1:10" ht="23.25">
      <c r="A5" s="9" t="s">
        <v>0</v>
      </c>
      <c r="B5" s="30" t="s">
        <v>1</v>
      </c>
      <c r="C5" s="10" t="s">
        <v>2</v>
      </c>
      <c r="D5" s="11" t="s">
        <v>5</v>
      </c>
      <c r="E5" s="12" t="s">
        <v>3</v>
      </c>
      <c r="F5" s="10" t="s">
        <v>2</v>
      </c>
      <c r="G5" s="11" t="s">
        <v>5</v>
      </c>
      <c r="H5" s="56" t="s">
        <v>3</v>
      </c>
      <c r="I5" s="10" t="s">
        <v>5</v>
      </c>
      <c r="J5" s="56" t="s">
        <v>7</v>
      </c>
    </row>
    <row r="6" spans="1:10" ht="24" thickBot="1">
      <c r="A6" s="13"/>
      <c r="B6" s="31"/>
      <c r="C6" s="14" t="s">
        <v>4</v>
      </c>
      <c r="D6" s="15" t="s">
        <v>6</v>
      </c>
      <c r="E6" s="16"/>
      <c r="F6" s="14" t="s">
        <v>4</v>
      </c>
      <c r="G6" s="15" t="s">
        <v>6</v>
      </c>
      <c r="H6" s="57"/>
      <c r="I6" s="14" t="s">
        <v>6</v>
      </c>
      <c r="J6" s="57"/>
    </row>
    <row r="7" spans="1:10" ht="23.25">
      <c r="A7" s="3">
        <v>1</v>
      </c>
      <c r="B7" s="32" t="s">
        <v>22</v>
      </c>
      <c r="C7" s="39">
        <v>203</v>
      </c>
      <c r="D7" s="20">
        <v>28585.26737665</v>
      </c>
      <c r="E7" s="41">
        <f aca="true" t="shared" si="0" ref="E7:E30">(D7/$D$31)*100</f>
        <v>21.97993081707747</v>
      </c>
      <c r="F7" s="39">
        <v>203</v>
      </c>
      <c r="G7" s="20">
        <v>28923.41767185</v>
      </c>
      <c r="H7" s="44">
        <f aca="true" t="shared" si="1" ref="H7:H30">(G7/$G$31)*100</f>
        <v>22.21520617561833</v>
      </c>
      <c r="I7" s="61">
        <f aca="true" t="shared" si="2" ref="I7:I30">(D7-G7)</f>
        <v>-338.15029519999734</v>
      </c>
      <c r="J7" s="62">
        <f aca="true" t="shared" si="3" ref="J7:J28">(D7-G7)/G7*100</f>
        <v>-1.1691228852567637</v>
      </c>
    </row>
    <row r="8" spans="1:10" ht="23.25">
      <c r="A8" s="3">
        <v>2</v>
      </c>
      <c r="B8" s="32" t="s">
        <v>19</v>
      </c>
      <c r="C8" s="4">
        <v>126</v>
      </c>
      <c r="D8" s="20">
        <v>22583.50279567</v>
      </c>
      <c r="E8" s="41">
        <f t="shared" si="0"/>
        <v>17.365023125918896</v>
      </c>
      <c r="F8" s="4">
        <v>128</v>
      </c>
      <c r="G8" s="20">
        <v>22193.20592048</v>
      </c>
      <c r="H8" s="41">
        <f t="shared" si="1"/>
        <v>17.045933188637648</v>
      </c>
      <c r="I8" s="61">
        <f t="shared" si="2"/>
        <v>390.2968751900007</v>
      </c>
      <c r="J8" s="63">
        <f t="shared" si="3"/>
        <v>1.758632243527434</v>
      </c>
    </row>
    <row r="9" spans="1:10" ht="23.25">
      <c r="A9" s="3">
        <v>3</v>
      </c>
      <c r="B9" s="32" t="s">
        <v>14</v>
      </c>
      <c r="C9" s="39">
        <v>30</v>
      </c>
      <c r="D9" s="20">
        <v>17196.545186479998</v>
      </c>
      <c r="E9" s="41">
        <f t="shared" si="0"/>
        <v>13.222855973714998</v>
      </c>
      <c r="F9" s="39">
        <v>32</v>
      </c>
      <c r="G9" s="20">
        <v>17244.708882580002</v>
      </c>
      <c r="H9" s="41">
        <f t="shared" si="1"/>
        <v>13.245141622315343</v>
      </c>
      <c r="I9" s="61">
        <f t="shared" si="2"/>
        <v>-48.16369610000402</v>
      </c>
      <c r="J9" s="63">
        <f t="shared" si="3"/>
        <v>-0.279295501176348</v>
      </c>
    </row>
    <row r="10" spans="1:10" ht="23.25">
      <c r="A10" s="3">
        <v>4</v>
      </c>
      <c r="B10" s="32" t="s">
        <v>17</v>
      </c>
      <c r="C10" s="39">
        <v>46</v>
      </c>
      <c r="D10" s="20">
        <v>15338.79588122</v>
      </c>
      <c r="E10" s="41">
        <f t="shared" si="0"/>
        <v>11.794385822743338</v>
      </c>
      <c r="F10" s="39">
        <v>47</v>
      </c>
      <c r="G10" s="20">
        <v>15409.05695116</v>
      </c>
      <c r="H10" s="41">
        <f t="shared" si="1"/>
        <v>11.83523264869995</v>
      </c>
      <c r="I10" s="61">
        <f t="shared" si="2"/>
        <v>-70.26106994000111</v>
      </c>
      <c r="J10" s="63">
        <f t="shared" si="3"/>
        <v>-0.45597255018719246</v>
      </c>
    </row>
    <row r="11" spans="1:10" ht="23.25">
      <c r="A11" s="3">
        <v>5</v>
      </c>
      <c r="B11" s="32" t="s">
        <v>21</v>
      </c>
      <c r="C11" s="4">
        <v>10</v>
      </c>
      <c r="D11" s="20">
        <v>7465.7869900000005</v>
      </c>
      <c r="E11" s="41">
        <f t="shared" si="0"/>
        <v>5.740631331973504</v>
      </c>
      <c r="F11" s="4">
        <v>10</v>
      </c>
      <c r="G11" s="20">
        <v>7485.30757</v>
      </c>
      <c r="H11" s="41">
        <f t="shared" si="1"/>
        <v>5.749239347924908</v>
      </c>
      <c r="I11" s="61">
        <f t="shared" si="2"/>
        <v>-19.520579999999427</v>
      </c>
      <c r="J11" s="63">
        <f t="shared" si="3"/>
        <v>-0.2607852759215267</v>
      </c>
    </row>
    <row r="12" spans="1:10" ht="23.25">
      <c r="A12" s="3">
        <v>6</v>
      </c>
      <c r="B12" s="32" t="s">
        <v>30</v>
      </c>
      <c r="C12" s="4">
        <v>316</v>
      </c>
      <c r="D12" s="20">
        <v>7160.53</v>
      </c>
      <c r="E12" s="41">
        <f t="shared" si="0"/>
        <v>5.505911557160062</v>
      </c>
      <c r="F12" s="4">
        <v>322</v>
      </c>
      <c r="G12" s="20">
        <v>7270.57</v>
      </c>
      <c r="H12" s="41">
        <f t="shared" si="1"/>
        <v>5.58430588655723</v>
      </c>
      <c r="I12" s="61">
        <f t="shared" si="2"/>
        <v>-110.03999999999996</v>
      </c>
      <c r="J12" s="63">
        <f t="shared" si="3"/>
        <v>-1.5134989416235585</v>
      </c>
    </row>
    <row r="13" spans="1:10" ht="23.25">
      <c r="A13" s="3">
        <v>7</v>
      </c>
      <c r="B13" s="33" t="s">
        <v>26</v>
      </c>
      <c r="C13" s="5">
        <v>16</v>
      </c>
      <c r="D13" s="20">
        <v>6624.48621496</v>
      </c>
      <c r="E13" s="41">
        <f t="shared" si="0"/>
        <v>5.093734012872759</v>
      </c>
      <c r="F13" s="5">
        <v>16</v>
      </c>
      <c r="G13" s="20">
        <v>6445.436600319999</v>
      </c>
      <c r="H13" s="41">
        <f t="shared" si="1"/>
        <v>4.950545768570882</v>
      </c>
      <c r="I13" s="61">
        <f t="shared" si="2"/>
        <v>179.04961464000098</v>
      </c>
      <c r="J13" s="63">
        <f t="shared" si="3"/>
        <v>2.777928412655733</v>
      </c>
    </row>
    <row r="14" spans="1:10" ht="23.25">
      <c r="A14" s="3">
        <v>8</v>
      </c>
      <c r="B14" s="33" t="s">
        <v>20</v>
      </c>
      <c r="C14" s="5">
        <v>110</v>
      </c>
      <c r="D14" s="20">
        <v>3946.91</v>
      </c>
      <c r="E14" s="41">
        <f t="shared" si="0"/>
        <v>3.0348783377865356</v>
      </c>
      <c r="F14" s="5">
        <v>110</v>
      </c>
      <c r="G14" s="20">
        <v>3982.82</v>
      </c>
      <c r="H14" s="41">
        <f t="shared" si="1"/>
        <v>3.059084111850635</v>
      </c>
      <c r="I14" s="61">
        <f t="shared" si="2"/>
        <v>-35.91000000000031</v>
      </c>
      <c r="J14" s="63">
        <f t="shared" si="3"/>
        <v>-0.9016224685022247</v>
      </c>
    </row>
    <row r="15" spans="1:10" ht="23.25">
      <c r="A15" s="3">
        <v>9</v>
      </c>
      <c r="B15" s="32" t="s">
        <v>24</v>
      </c>
      <c r="C15" s="39">
        <v>66</v>
      </c>
      <c r="D15" s="20">
        <v>3380.26</v>
      </c>
      <c r="E15" s="41">
        <f t="shared" si="0"/>
        <v>2.5991669052717987</v>
      </c>
      <c r="F15" s="39">
        <v>66</v>
      </c>
      <c r="G15" s="20">
        <v>3430.23</v>
      </c>
      <c r="H15" s="41">
        <f t="shared" si="1"/>
        <v>2.6346563723676697</v>
      </c>
      <c r="I15" s="61">
        <f t="shared" si="2"/>
        <v>-49.9699999999998</v>
      </c>
      <c r="J15" s="63">
        <f t="shared" si="3"/>
        <v>-1.4567536287654121</v>
      </c>
    </row>
    <row r="16" spans="1:10" ht="23.25">
      <c r="A16" s="3">
        <v>10</v>
      </c>
      <c r="B16" s="32" t="s">
        <v>57</v>
      </c>
      <c r="C16" s="39">
        <v>3</v>
      </c>
      <c r="D16" s="40">
        <v>3119.1858056300002</v>
      </c>
      <c r="E16" s="41">
        <f t="shared" si="0"/>
        <v>2.3984203929245234</v>
      </c>
      <c r="F16" s="39">
        <v>3</v>
      </c>
      <c r="G16" s="40">
        <v>3271.0652038099997</v>
      </c>
      <c r="H16" s="41">
        <f t="shared" si="1"/>
        <v>2.512406685163434</v>
      </c>
      <c r="I16" s="61">
        <f t="shared" si="2"/>
        <v>-151.8793981799995</v>
      </c>
      <c r="J16" s="63">
        <f t="shared" si="3"/>
        <v>-4.643117416402973</v>
      </c>
    </row>
    <row r="17" spans="1:10" ht="23.25">
      <c r="A17" s="3">
        <v>11</v>
      </c>
      <c r="B17" s="32" t="s">
        <v>31</v>
      </c>
      <c r="C17" s="5">
        <v>49</v>
      </c>
      <c r="D17" s="20">
        <v>2999.4121755799997</v>
      </c>
      <c r="E17" s="41">
        <f t="shared" si="0"/>
        <v>2.3063234372612818</v>
      </c>
      <c r="F17" s="5">
        <v>50</v>
      </c>
      <c r="G17" s="20">
        <v>3251.26396238</v>
      </c>
      <c r="H17" s="41">
        <f t="shared" si="1"/>
        <v>2.4971979478734156</v>
      </c>
      <c r="I17" s="61">
        <f t="shared" si="2"/>
        <v>-251.85178680000035</v>
      </c>
      <c r="J17" s="63">
        <f t="shared" si="3"/>
        <v>-7.746273132976846</v>
      </c>
    </row>
    <row r="18" spans="1:10" ht="23.25">
      <c r="A18" s="3">
        <v>12</v>
      </c>
      <c r="B18" s="32" t="s">
        <v>46</v>
      </c>
      <c r="C18" s="54">
        <v>54</v>
      </c>
      <c r="D18" s="20">
        <v>2248.1205346799998</v>
      </c>
      <c r="E18" s="41">
        <f t="shared" si="0"/>
        <v>1.7286364045375788</v>
      </c>
      <c r="F18" s="39">
        <v>54</v>
      </c>
      <c r="G18" s="20">
        <v>2281.11399775</v>
      </c>
      <c r="H18" s="41">
        <f t="shared" si="1"/>
        <v>1.752054973068607</v>
      </c>
      <c r="I18" s="61">
        <f t="shared" si="2"/>
        <v>-32.993463070000416</v>
      </c>
      <c r="J18" s="63">
        <f t="shared" si="3"/>
        <v>-1.4463750212634638</v>
      </c>
    </row>
    <row r="19" spans="1:10" ht="23.25">
      <c r="A19" s="3">
        <v>13</v>
      </c>
      <c r="B19" s="32" t="s">
        <v>36</v>
      </c>
      <c r="C19" s="4">
        <v>36</v>
      </c>
      <c r="D19" s="20">
        <v>1929.96</v>
      </c>
      <c r="E19" s="41">
        <f t="shared" si="0"/>
        <v>1.4839947697805378</v>
      </c>
      <c r="F19" s="4">
        <v>35</v>
      </c>
      <c r="G19" s="20">
        <v>1938.98</v>
      </c>
      <c r="H19" s="41">
        <f t="shared" si="1"/>
        <v>1.4892721516905467</v>
      </c>
      <c r="I19" s="61">
        <f t="shared" si="2"/>
        <v>-9.019999999999982</v>
      </c>
      <c r="J19" s="63">
        <f t="shared" si="3"/>
        <v>-0.46519303963939707</v>
      </c>
    </row>
    <row r="20" spans="1:10" ht="23.25">
      <c r="A20" s="3">
        <v>14</v>
      </c>
      <c r="B20" s="32" t="s">
        <v>33</v>
      </c>
      <c r="C20" s="4">
        <v>3</v>
      </c>
      <c r="D20" s="20">
        <v>1637.5818321</v>
      </c>
      <c r="E20" s="41">
        <f t="shared" si="0"/>
        <v>1.2591778450973237</v>
      </c>
      <c r="F20" s="4">
        <v>3</v>
      </c>
      <c r="G20" s="20">
        <v>1698.39248753</v>
      </c>
      <c r="H20" s="41">
        <f t="shared" si="1"/>
        <v>1.3044841279017128</v>
      </c>
      <c r="I20" s="61">
        <f t="shared" si="2"/>
        <v>-60.81065543</v>
      </c>
      <c r="J20" s="63">
        <f t="shared" si="3"/>
        <v>-3.580483067164171</v>
      </c>
    </row>
    <row r="21" spans="1:10" ht="23.25">
      <c r="A21" s="46">
        <v>15</v>
      </c>
      <c r="B21" s="32" t="s">
        <v>52</v>
      </c>
      <c r="C21" s="39">
        <v>12</v>
      </c>
      <c r="D21" s="40">
        <v>1569.44674861</v>
      </c>
      <c r="E21" s="41">
        <f t="shared" si="0"/>
        <v>1.2067870662533473</v>
      </c>
      <c r="F21" s="39">
        <v>12</v>
      </c>
      <c r="G21" s="40">
        <v>1501.9184996400002</v>
      </c>
      <c r="H21" s="41">
        <f t="shared" si="1"/>
        <v>1.1535783740021561</v>
      </c>
      <c r="I21" s="61">
        <f t="shared" si="2"/>
        <v>67.52824896999982</v>
      </c>
      <c r="J21" s="63">
        <f t="shared" si="3"/>
        <v>4.4961327120070695</v>
      </c>
    </row>
    <row r="22" spans="1:10" ht="23.25">
      <c r="A22" s="3">
        <v>16</v>
      </c>
      <c r="B22" s="32" t="s">
        <v>51</v>
      </c>
      <c r="C22" s="4">
        <v>36</v>
      </c>
      <c r="D22" s="20">
        <v>1216.59666242</v>
      </c>
      <c r="E22" s="41">
        <f t="shared" si="0"/>
        <v>0.9354717631265614</v>
      </c>
      <c r="F22" s="4">
        <v>32</v>
      </c>
      <c r="G22" s="20">
        <v>1225.3336213900002</v>
      </c>
      <c r="H22" s="41">
        <f t="shared" si="1"/>
        <v>0.9411418575056242</v>
      </c>
      <c r="I22" s="61">
        <f t="shared" si="2"/>
        <v>-8.73695897000016</v>
      </c>
      <c r="J22" s="63">
        <f t="shared" si="3"/>
        <v>-0.7130269518018353</v>
      </c>
    </row>
    <row r="23" spans="1:10" ht="23.25">
      <c r="A23" s="3">
        <v>17</v>
      </c>
      <c r="B23" s="33" t="s">
        <v>32</v>
      </c>
      <c r="C23" s="4">
        <v>35</v>
      </c>
      <c r="D23" s="20">
        <v>893.6599231499999</v>
      </c>
      <c r="E23" s="41">
        <f t="shared" si="0"/>
        <v>0.6871575845701866</v>
      </c>
      <c r="F23" s="4">
        <v>36</v>
      </c>
      <c r="G23" s="20">
        <v>914.59607739</v>
      </c>
      <c r="H23" s="41">
        <f t="shared" si="1"/>
        <v>0.7024737068470738</v>
      </c>
      <c r="I23" s="61">
        <f t="shared" si="2"/>
        <v>-20.936154240000064</v>
      </c>
      <c r="J23" s="63">
        <f t="shared" si="3"/>
        <v>-2.289114807899238</v>
      </c>
    </row>
    <row r="24" spans="1:10" ht="23.25">
      <c r="A24" s="3">
        <v>18</v>
      </c>
      <c r="B24" s="32" t="s">
        <v>34</v>
      </c>
      <c r="C24" s="39">
        <v>3</v>
      </c>
      <c r="D24" s="40">
        <f>812489484.26/1000000</f>
        <v>812.48948426</v>
      </c>
      <c r="E24" s="41">
        <f t="shared" si="0"/>
        <v>0.6247435932058315</v>
      </c>
      <c r="F24" s="39">
        <v>3</v>
      </c>
      <c r="G24" s="40">
        <v>313.40477167</v>
      </c>
      <c r="H24" s="41">
        <f t="shared" si="1"/>
        <v>0.2407167679166703</v>
      </c>
      <c r="I24" s="61">
        <f t="shared" si="2"/>
        <v>499.08471259000004</v>
      </c>
      <c r="J24" s="63">
        <f t="shared" si="3"/>
        <v>159.24604782836937</v>
      </c>
    </row>
    <row r="25" spans="1:10" ht="23.25">
      <c r="A25" s="21">
        <v>19</v>
      </c>
      <c r="B25" s="32" t="s">
        <v>16</v>
      </c>
      <c r="C25" s="4">
        <v>75</v>
      </c>
      <c r="D25" s="20">
        <v>584.7110642</v>
      </c>
      <c r="E25" s="41">
        <f t="shared" si="0"/>
        <v>0.4495990388949057</v>
      </c>
      <c r="F25" s="4">
        <v>79</v>
      </c>
      <c r="G25" s="20">
        <v>612.01965175</v>
      </c>
      <c r="H25" s="41">
        <f t="shared" si="1"/>
        <v>0.4700738654543221</v>
      </c>
      <c r="I25" s="61">
        <f t="shared" si="2"/>
        <v>-27.30858754999997</v>
      </c>
      <c r="J25" s="63">
        <f t="shared" si="3"/>
        <v>-4.462044228794647</v>
      </c>
    </row>
    <row r="26" spans="1:10" ht="23.25">
      <c r="A26" s="21">
        <v>20</v>
      </c>
      <c r="B26" s="32" t="s">
        <v>25</v>
      </c>
      <c r="C26" s="5">
        <v>5</v>
      </c>
      <c r="D26" s="20">
        <v>550.78586497</v>
      </c>
      <c r="E26" s="41">
        <f t="shared" si="0"/>
        <v>0.42351310021167776</v>
      </c>
      <c r="F26" s="5">
        <v>6</v>
      </c>
      <c r="G26" s="20">
        <v>591.23810437</v>
      </c>
      <c r="H26" s="41">
        <f t="shared" si="1"/>
        <v>0.45411218468295184</v>
      </c>
      <c r="I26" s="61">
        <f t="shared" si="2"/>
        <v>-40.45223939999994</v>
      </c>
      <c r="J26" s="63">
        <f t="shared" si="3"/>
        <v>-6.841954045418682</v>
      </c>
    </row>
    <row r="27" spans="1:10" ht="23.25">
      <c r="A27" s="21">
        <v>21</v>
      </c>
      <c r="B27" s="32" t="s">
        <v>35</v>
      </c>
      <c r="C27" s="54">
        <v>6</v>
      </c>
      <c r="D27" s="20">
        <v>200.74415216</v>
      </c>
      <c r="E27" s="41">
        <f t="shared" si="0"/>
        <v>0.15435722598886426</v>
      </c>
      <c r="F27" s="54">
        <v>6</v>
      </c>
      <c r="G27" s="20">
        <v>205.41303526</v>
      </c>
      <c r="H27" s="45">
        <f t="shared" si="1"/>
        <v>0.15777156701304104</v>
      </c>
      <c r="I27" s="61">
        <f t="shared" si="2"/>
        <v>-4.668883099999988</v>
      </c>
      <c r="J27" s="63">
        <f t="shared" si="3"/>
        <v>-2.2729244490693516</v>
      </c>
    </row>
    <row r="28" spans="1:10" ht="23.25">
      <c r="A28" s="21">
        <v>22</v>
      </c>
      <c r="B28" s="32" t="s">
        <v>72</v>
      </c>
      <c r="C28" s="54">
        <v>3</v>
      </c>
      <c r="D28" s="20">
        <v>6.89260024</v>
      </c>
      <c r="E28" s="41">
        <f t="shared" si="0"/>
        <v>0.005299893628027565</v>
      </c>
      <c r="F28" s="54">
        <v>4</v>
      </c>
      <c r="G28" s="20">
        <v>6.99242142</v>
      </c>
      <c r="H28" s="45">
        <f t="shared" si="1"/>
        <v>0.0053706683378325045</v>
      </c>
      <c r="I28" s="61">
        <f t="shared" si="2"/>
        <v>-0.09982118000000018</v>
      </c>
      <c r="J28" s="63">
        <f t="shared" si="3"/>
        <v>-1.4275624137081853</v>
      </c>
    </row>
    <row r="29" spans="1:10" ht="23.25">
      <c r="A29" s="21">
        <v>23</v>
      </c>
      <c r="B29" s="32" t="s">
        <v>58</v>
      </c>
      <c r="C29" s="54">
        <v>0</v>
      </c>
      <c r="D29" s="42">
        <v>0</v>
      </c>
      <c r="E29" s="41">
        <f t="shared" si="0"/>
        <v>0</v>
      </c>
      <c r="F29" s="54">
        <v>0</v>
      </c>
      <c r="G29" s="20">
        <v>0</v>
      </c>
      <c r="H29" s="45">
        <f t="shared" si="1"/>
        <v>0</v>
      </c>
      <c r="I29" s="61">
        <f t="shared" si="2"/>
        <v>0</v>
      </c>
      <c r="J29" s="63">
        <v>0</v>
      </c>
    </row>
    <row r="30" spans="1:10" ht="24" thickBot="1">
      <c r="A30" s="21">
        <v>24</v>
      </c>
      <c r="B30" s="32" t="s">
        <v>23</v>
      </c>
      <c r="C30" s="5"/>
      <c r="D30" s="42"/>
      <c r="E30" s="41">
        <f t="shared" si="0"/>
        <v>0</v>
      </c>
      <c r="F30" s="53"/>
      <c r="G30" s="58"/>
      <c r="H30" s="45">
        <f t="shared" si="1"/>
        <v>0</v>
      </c>
      <c r="I30" s="61">
        <f t="shared" si="2"/>
        <v>0</v>
      </c>
      <c r="J30" s="63">
        <v>0</v>
      </c>
    </row>
    <row r="31" spans="1:11" ht="24" thickBot="1">
      <c r="A31" s="70" t="s">
        <v>11</v>
      </c>
      <c r="B31" s="71"/>
      <c r="C31" s="6">
        <f aca="true" t="shared" si="4" ref="C31:I31">SUM(C7:C30)</f>
        <v>1243</v>
      </c>
      <c r="D31" s="37">
        <f t="shared" si="4"/>
        <v>130051.67129297998</v>
      </c>
      <c r="E31" s="38">
        <f t="shared" si="4"/>
        <v>100.00000000000001</v>
      </c>
      <c r="F31" s="6">
        <f t="shared" si="4"/>
        <v>1257</v>
      </c>
      <c r="G31" s="59">
        <f t="shared" si="4"/>
        <v>130196.48543075002</v>
      </c>
      <c r="H31" s="60">
        <f t="shared" si="4"/>
        <v>100</v>
      </c>
      <c r="I31" s="43">
        <f t="shared" si="4"/>
        <v>-144.81413777000077</v>
      </c>
      <c r="J31" s="66">
        <f>(D31-G31)/G31*100</f>
        <v>-0.11122737859699183</v>
      </c>
      <c r="K31" s="7"/>
    </row>
    <row r="32" spans="1:11" ht="5.25" customHeight="1">
      <c r="A32" s="22"/>
      <c r="B32" s="34"/>
      <c r="C32" s="23"/>
      <c r="D32" s="24"/>
      <c r="E32" s="25"/>
      <c r="F32" s="23"/>
      <c r="G32" s="24"/>
      <c r="H32" s="25"/>
      <c r="I32" s="26"/>
      <c r="J32" s="27"/>
      <c r="K32" s="7"/>
    </row>
    <row r="33" spans="2:10" ht="21">
      <c r="B33" s="35" t="s">
        <v>68</v>
      </c>
      <c r="H33" s="17" t="s">
        <v>10</v>
      </c>
      <c r="J33" s="18"/>
    </row>
    <row r="34" spans="2:10" ht="21">
      <c r="B34" s="68" t="s">
        <v>54</v>
      </c>
      <c r="H34" s="17" t="s">
        <v>9</v>
      </c>
      <c r="J34" s="18"/>
    </row>
    <row r="35" spans="2:10" ht="21">
      <c r="B35" s="67"/>
      <c r="H35" s="17"/>
      <c r="J35" s="18"/>
    </row>
    <row r="36" spans="2:10" ht="21">
      <c r="B36" s="67"/>
      <c r="H36" s="17"/>
      <c r="J36" s="18"/>
    </row>
    <row r="38" ht="21">
      <c r="F38" s="64"/>
    </row>
  </sheetData>
  <mergeCells count="6">
    <mergeCell ref="A31:B31"/>
    <mergeCell ref="F4:H4"/>
    <mergeCell ref="A1:J1"/>
    <mergeCell ref="A2:J2"/>
    <mergeCell ref="C4:E4"/>
    <mergeCell ref="I4:J4"/>
  </mergeCells>
  <printOptions horizontalCentered="1" verticalCentered="1"/>
  <pageMargins left="0.1968503937007874" right="0.1968503937007874" top="0.17" bottom="0.17" header="0.25" footer="0.15748031496062992"/>
  <pageSetup fitToHeight="1" fitToWidth="1" horizontalDpi="1200" verticalDpi="1200" orientation="landscape" paperSize="9" scale="8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zoomScale="75" zoomScaleNormal="75" workbookViewId="0" topLeftCell="A1">
      <selection activeCell="B29" sqref="B29"/>
    </sheetView>
  </sheetViews>
  <sheetFormatPr defaultColWidth="9.140625" defaultRowHeight="21.75"/>
  <cols>
    <col min="1" max="1" width="6.57421875" style="1" customWidth="1"/>
    <col min="2" max="2" width="55.7109375" style="35" customWidth="1"/>
    <col min="3" max="3" width="11.00390625" style="1" customWidth="1"/>
    <col min="4" max="4" width="14.8515625" style="1" customWidth="1"/>
    <col min="5" max="5" width="10.421875" style="1" customWidth="1"/>
    <col min="6" max="6" width="10.7109375" style="1" customWidth="1"/>
    <col min="7" max="7" width="14.7109375" style="1" customWidth="1"/>
    <col min="8" max="8" width="10.00390625" style="1" customWidth="1"/>
    <col min="9" max="9" width="15.00390625" style="1" customWidth="1"/>
    <col min="10" max="10" width="10.28125" style="1" customWidth="1"/>
    <col min="11" max="16384" width="9.140625" style="1" customWidth="1"/>
  </cols>
  <sheetData>
    <row r="1" spans="1:10" ht="23.25">
      <c r="A1" s="75" t="s">
        <v>12</v>
      </c>
      <c r="B1" s="76"/>
      <c r="C1" s="76"/>
      <c r="D1" s="76"/>
      <c r="E1" s="76"/>
      <c r="F1" s="76"/>
      <c r="G1" s="76"/>
      <c r="H1" s="76"/>
      <c r="I1" s="76"/>
      <c r="J1" s="76"/>
    </row>
    <row r="2" spans="1:10" ht="23.25">
      <c r="A2" s="75" t="s">
        <v>69</v>
      </c>
      <c r="B2" s="76"/>
      <c r="C2" s="76"/>
      <c r="D2" s="76"/>
      <c r="E2" s="76"/>
      <c r="F2" s="76"/>
      <c r="G2" s="76"/>
      <c r="H2" s="76"/>
      <c r="I2" s="76"/>
      <c r="J2" s="76"/>
    </row>
    <row r="3" spans="1:10" ht="5.25" customHeight="1" thickBot="1">
      <c r="A3" s="19"/>
      <c r="B3" s="28"/>
      <c r="C3" s="2"/>
      <c r="D3" s="19"/>
      <c r="E3" s="19"/>
      <c r="F3" s="2"/>
      <c r="G3" s="2"/>
      <c r="H3" s="2"/>
      <c r="I3" s="19"/>
      <c r="J3" s="19"/>
    </row>
    <row r="4" spans="1:10" ht="22.5" customHeight="1" thickBot="1">
      <c r="A4" s="8"/>
      <c r="B4" s="29"/>
      <c r="C4" s="72" t="s">
        <v>70</v>
      </c>
      <c r="D4" s="73"/>
      <c r="E4" s="74"/>
      <c r="F4" s="72" t="s">
        <v>67</v>
      </c>
      <c r="G4" s="73"/>
      <c r="H4" s="74"/>
      <c r="I4" s="77" t="s">
        <v>8</v>
      </c>
      <c r="J4" s="74"/>
    </row>
    <row r="5" spans="1:10" ht="23.25">
      <c r="A5" s="9" t="s">
        <v>0</v>
      </c>
      <c r="B5" s="30" t="s">
        <v>1</v>
      </c>
      <c r="C5" s="10" t="s">
        <v>2</v>
      </c>
      <c r="D5" s="11" t="s">
        <v>5</v>
      </c>
      <c r="E5" s="12" t="s">
        <v>3</v>
      </c>
      <c r="F5" s="10" t="s">
        <v>2</v>
      </c>
      <c r="G5" s="11" t="s">
        <v>5</v>
      </c>
      <c r="H5" s="56" t="s">
        <v>3</v>
      </c>
      <c r="I5" s="10" t="s">
        <v>5</v>
      </c>
      <c r="J5" s="56" t="s">
        <v>7</v>
      </c>
    </row>
    <row r="6" spans="1:10" ht="24" thickBot="1">
      <c r="A6" s="13"/>
      <c r="B6" s="31"/>
      <c r="C6" s="14" t="s">
        <v>4</v>
      </c>
      <c r="D6" s="15" t="s">
        <v>6</v>
      </c>
      <c r="E6" s="16"/>
      <c r="F6" s="14" t="s">
        <v>4</v>
      </c>
      <c r="G6" s="15" t="s">
        <v>6</v>
      </c>
      <c r="H6" s="57"/>
      <c r="I6" s="14" t="s">
        <v>6</v>
      </c>
      <c r="J6" s="57"/>
    </row>
    <row r="7" spans="1:10" ht="23.25">
      <c r="A7" s="3">
        <v>1</v>
      </c>
      <c r="B7" s="32" t="s">
        <v>22</v>
      </c>
      <c r="C7" s="39">
        <v>200</v>
      </c>
      <c r="D7" s="20">
        <f>29065669594.27/1000000</f>
        <v>29065.66959427</v>
      </c>
      <c r="E7" s="41">
        <f aca="true" t="shared" si="0" ref="E7:E30">(D7/$D$31)*100</f>
        <v>22.230189887972713</v>
      </c>
      <c r="F7" s="39">
        <v>203</v>
      </c>
      <c r="G7" s="20">
        <v>28585.26737665</v>
      </c>
      <c r="H7" s="44">
        <f aca="true" t="shared" si="1" ref="H7:H30">(G7/$G$31)*100</f>
        <v>21.97993081707747</v>
      </c>
      <c r="I7" s="61">
        <f aca="true" t="shared" si="2" ref="I7:I30">(D7-G7)</f>
        <v>480.4022176199978</v>
      </c>
      <c r="J7" s="62">
        <f aca="true" t="shared" si="3" ref="J7:J28">(D7-G7)/G7*100</f>
        <v>1.6805937523341707</v>
      </c>
    </row>
    <row r="8" spans="1:10" ht="23.25">
      <c r="A8" s="3">
        <v>2</v>
      </c>
      <c r="B8" s="32" t="s">
        <v>19</v>
      </c>
      <c r="C8" s="4">
        <v>126</v>
      </c>
      <c r="D8" s="20">
        <f>22550654990.2/1000000</f>
        <v>22550.6549902</v>
      </c>
      <c r="E8" s="41">
        <f t="shared" si="0"/>
        <v>17.247335070138302</v>
      </c>
      <c r="F8" s="4">
        <v>126</v>
      </c>
      <c r="G8" s="20">
        <v>22583.50279567</v>
      </c>
      <c r="H8" s="41">
        <f t="shared" si="1"/>
        <v>17.365023125918896</v>
      </c>
      <c r="I8" s="61">
        <f t="shared" si="2"/>
        <v>-32.847805469999</v>
      </c>
      <c r="J8" s="63">
        <f t="shared" si="3"/>
        <v>-0.14545044569568283</v>
      </c>
    </row>
    <row r="9" spans="1:10" ht="23.25">
      <c r="A9" s="3">
        <v>3</v>
      </c>
      <c r="B9" s="32" t="s">
        <v>14</v>
      </c>
      <c r="C9" s="39">
        <v>29</v>
      </c>
      <c r="D9" s="20">
        <f>(645467290.86+16703046444.71)/1000000</f>
        <v>17348.51373557</v>
      </c>
      <c r="E9" s="41">
        <f t="shared" si="0"/>
        <v>13.268600379736409</v>
      </c>
      <c r="F9" s="39">
        <v>30</v>
      </c>
      <c r="G9" s="20">
        <v>17196.545186479998</v>
      </c>
      <c r="H9" s="41">
        <f t="shared" si="1"/>
        <v>13.222855973714998</v>
      </c>
      <c r="I9" s="61">
        <f t="shared" si="2"/>
        <v>151.96854909000103</v>
      </c>
      <c r="J9" s="63">
        <f t="shared" si="3"/>
        <v>0.8837155803217928</v>
      </c>
    </row>
    <row r="10" spans="1:10" ht="23.25">
      <c r="A10" s="3">
        <v>4</v>
      </c>
      <c r="B10" s="32" t="s">
        <v>17</v>
      </c>
      <c r="C10" s="39">
        <v>48</v>
      </c>
      <c r="D10" s="20">
        <f>15470487097.57/1000000</f>
        <v>15470.48709757</v>
      </c>
      <c r="E10" s="41">
        <f t="shared" si="0"/>
        <v>11.83223612733187</v>
      </c>
      <c r="F10" s="39">
        <v>46</v>
      </c>
      <c r="G10" s="20">
        <v>15338.79588122</v>
      </c>
      <c r="H10" s="41">
        <f t="shared" si="1"/>
        <v>11.794385822743338</v>
      </c>
      <c r="I10" s="61">
        <f t="shared" si="2"/>
        <v>131.6912163500001</v>
      </c>
      <c r="J10" s="63">
        <f t="shared" si="3"/>
        <v>0.8585498977219963</v>
      </c>
    </row>
    <row r="11" spans="1:10" ht="23.25">
      <c r="A11" s="3">
        <v>5</v>
      </c>
      <c r="B11" s="32" t="s">
        <v>21</v>
      </c>
      <c r="C11" s="4">
        <v>10</v>
      </c>
      <c r="D11" s="20">
        <f>7522478.93/1000</f>
        <v>7522.478929999999</v>
      </c>
      <c r="E11" s="41">
        <f t="shared" si="0"/>
        <v>5.753390077589704</v>
      </c>
      <c r="F11" s="4">
        <v>10</v>
      </c>
      <c r="G11" s="20">
        <v>7465.7869900000005</v>
      </c>
      <c r="H11" s="41">
        <f t="shared" si="1"/>
        <v>5.740631331973504</v>
      </c>
      <c r="I11" s="61">
        <f t="shared" si="2"/>
        <v>56.691939999998795</v>
      </c>
      <c r="J11" s="63">
        <f t="shared" si="3"/>
        <v>0.7593565162779817</v>
      </c>
    </row>
    <row r="12" spans="1:10" ht="23.25">
      <c r="A12" s="3">
        <v>6</v>
      </c>
      <c r="B12" s="32" t="s">
        <v>30</v>
      </c>
      <c r="C12" s="4">
        <v>288</v>
      </c>
      <c r="D12" s="20">
        <f>6940.97</f>
        <v>6940.97</v>
      </c>
      <c r="E12" s="41">
        <f t="shared" si="0"/>
        <v>5.308636727128436</v>
      </c>
      <c r="F12" s="4">
        <v>316</v>
      </c>
      <c r="G12" s="20">
        <v>7160.53</v>
      </c>
      <c r="H12" s="41">
        <f t="shared" si="1"/>
        <v>5.505911557160062</v>
      </c>
      <c r="I12" s="61">
        <f t="shared" si="2"/>
        <v>-219.5599999999995</v>
      </c>
      <c r="J12" s="63">
        <f t="shared" si="3"/>
        <v>-3.0662534756505386</v>
      </c>
    </row>
    <row r="13" spans="1:10" ht="23.25">
      <c r="A13" s="3">
        <v>7</v>
      </c>
      <c r="B13" s="33" t="s">
        <v>26</v>
      </c>
      <c r="C13" s="5">
        <v>16</v>
      </c>
      <c r="D13" s="20">
        <f>6710561342.51/1000000</f>
        <v>6710.56134251</v>
      </c>
      <c r="E13" s="41">
        <f t="shared" si="0"/>
        <v>5.132414115389763</v>
      </c>
      <c r="F13" s="5">
        <v>16</v>
      </c>
      <c r="G13" s="20">
        <v>6624.48621496</v>
      </c>
      <c r="H13" s="41">
        <f t="shared" si="1"/>
        <v>5.093734012872759</v>
      </c>
      <c r="I13" s="61">
        <f t="shared" si="2"/>
        <v>86.0751275499997</v>
      </c>
      <c r="J13" s="63">
        <f t="shared" si="3"/>
        <v>1.2993479759323407</v>
      </c>
    </row>
    <row r="14" spans="1:10" ht="23.25">
      <c r="A14" s="3">
        <v>8</v>
      </c>
      <c r="B14" s="33" t="s">
        <v>20</v>
      </c>
      <c r="C14" s="5">
        <v>110</v>
      </c>
      <c r="D14" s="20">
        <f>3979.26</f>
        <v>3979.26</v>
      </c>
      <c r="E14" s="41">
        <f t="shared" si="0"/>
        <v>3.0434428880679643</v>
      </c>
      <c r="F14" s="5">
        <v>110</v>
      </c>
      <c r="G14" s="20">
        <v>3946.91</v>
      </c>
      <c r="H14" s="41">
        <f t="shared" si="1"/>
        <v>3.0348783377865356</v>
      </c>
      <c r="I14" s="61">
        <f t="shared" si="2"/>
        <v>32.350000000000364</v>
      </c>
      <c r="J14" s="63">
        <f t="shared" si="3"/>
        <v>0.8196285195254103</v>
      </c>
    </row>
    <row r="15" spans="1:10" ht="23.25">
      <c r="A15" s="3">
        <v>9</v>
      </c>
      <c r="B15" s="32" t="s">
        <v>24</v>
      </c>
      <c r="C15" s="39">
        <v>65</v>
      </c>
      <c r="D15" s="20">
        <f>3353.32</f>
        <v>3353.32</v>
      </c>
      <c r="E15" s="41">
        <f t="shared" si="0"/>
        <v>2.5647074846619886</v>
      </c>
      <c r="F15" s="39">
        <v>66</v>
      </c>
      <c r="G15" s="20">
        <v>3380.26</v>
      </c>
      <c r="H15" s="41">
        <f t="shared" si="1"/>
        <v>2.5991669052717987</v>
      </c>
      <c r="I15" s="61">
        <f t="shared" si="2"/>
        <v>-26.940000000000055</v>
      </c>
      <c r="J15" s="63">
        <f t="shared" si="3"/>
        <v>-0.7969801139557328</v>
      </c>
    </row>
    <row r="16" spans="1:10" ht="23.25">
      <c r="A16" s="3">
        <v>10</v>
      </c>
      <c r="B16" s="32" t="s">
        <v>57</v>
      </c>
      <c r="C16" s="39">
        <v>3</v>
      </c>
      <c r="D16" s="40">
        <f>3103852640.42/1000000</f>
        <v>3103.85264042</v>
      </c>
      <c r="E16" s="41">
        <f t="shared" si="0"/>
        <v>2.3739082754324228</v>
      </c>
      <c r="F16" s="39">
        <v>3</v>
      </c>
      <c r="G16" s="40">
        <v>3119.1858056300002</v>
      </c>
      <c r="H16" s="41">
        <f t="shared" si="1"/>
        <v>2.3984203929245234</v>
      </c>
      <c r="I16" s="61">
        <f t="shared" si="2"/>
        <v>-15.333165210000061</v>
      </c>
      <c r="J16" s="63">
        <f t="shared" si="3"/>
        <v>-0.4915758843966377</v>
      </c>
    </row>
    <row r="17" spans="1:10" ht="23.25">
      <c r="A17" s="3">
        <v>11</v>
      </c>
      <c r="B17" s="32" t="s">
        <v>31</v>
      </c>
      <c r="C17" s="5">
        <v>49</v>
      </c>
      <c r="D17" s="20">
        <f>3090575220.35/1000000</f>
        <v>3090.57522035</v>
      </c>
      <c r="E17" s="41">
        <f t="shared" si="0"/>
        <v>2.363753354747689</v>
      </c>
      <c r="F17" s="5">
        <v>49</v>
      </c>
      <c r="G17" s="20">
        <v>2999.4121755799997</v>
      </c>
      <c r="H17" s="41">
        <f t="shared" si="1"/>
        <v>2.3063234372612818</v>
      </c>
      <c r="I17" s="61">
        <f t="shared" si="2"/>
        <v>91.1630447700004</v>
      </c>
      <c r="J17" s="63">
        <f t="shared" si="3"/>
        <v>3.039363696400682</v>
      </c>
    </row>
    <row r="18" spans="1:10" ht="23.25">
      <c r="A18" s="3">
        <v>12</v>
      </c>
      <c r="B18" s="32" t="s">
        <v>46</v>
      </c>
      <c r="C18" s="54">
        <v>54</v>
      </c>
      <c r="D18" s="20">
        <f>2255631605.33/1000000</f>
        <v>2255.6316053299997</v>
      </c>
      <c r="E18" s="41">
        <f t="shared" si="0"/>
        <v>1.725166480034708</v>
      </c>
      <c r="F18" s="39">
        <v>54</v>
      </c>
      <c r="G18" s="20">
        <v>2248.1205346799998</v>
      </c>
      <c r="H18" s="41">
        <f t="shared" si="1"/>
        <v>1.7286364045375788</v>
      </c>
      <c r="I18" s="61">
        <f t="shared" si="2"/>
        <v>7.511070649999965</v>
      </c>
      <c r="J18" s="63">
        <f t="shared" si="3"/>
        <v>0.3341044456528262</v>
      </c>
    </row>
    <row r="19" spans="1:10" ht="23.25">
      <c r="A19" s="3">
        <v>13</v>
      </c>
      <c r="B19" s="32" t="s">
        <v>36</v>
      </c>
      <c r="C19" s="4">
        <v>36</v>
      </c>
      <c r="D19" s="20">
        <f>1940.17</f>
        <v>1940.17</v>
      </c>
      <c r="E19" s="41">
        <f t="shared" si="0"/>
        <v>1.4838931329299472</v>
      </c>
      <c r="F19" s="4">
        <v>36</v>
      </c>
      <c r="G19" s="20">
        <v>1929.96</v>
      </c>
      <c r="H19" s="41">
        <f t="shared" si="1"/>
        <v>1.4839947697805378</v>
      </c>
      <c r="I19" s="61">
        <f t="shared" si="2"/>
        <v>10.210000000000036</v>
      </c>
      <c r="J19" s="63">
        <f t="shared" si="3"/>
        <v>0.5290265083214178</v>
      </c>
    </row>
    <row r="20" spans="1:10" ht="23.25">
      <c r="A20" s="3">
        <v>14</v>
      </c>
      <c r="B20" s="32" t="s">
        <v>33</v>
      </c>
      <c r="C20" s="4">
        <v>3</v>
      </c>
      <c r="D20" s="20">
        <f>1657420158.79/1000000</f>
        <v>1657.42015879</v>
      </c>
      <c r="E20" s="41">
        <f t="shared" si="0"/>
        <v>1.2676386048687196</v>
      </c>
      <c r="F20" s="4">
        <v>3</v>
      </c>
      <c r="G20" s="20">
        <v>1637.5818321</v>
      </c>
      <c r="H20" s="41">
        <f t="shared" si="1"/>
        <v>1.2591778450973237</v>
      </c>
      <c r="I20" s="61">
        <f t="shared" si="2"/>
        <v>19.83832669000003</v>
      </c>
      <c r="J20" s="63">
        <f t="shared" si="3"/>
        <v>1.2114403262864601</v>
      </c>
    </row>
    <row r="21" spans="1:10" ht="23.25">
      <c r="A21" s="46">
        <v>15</v>
      </c>
      <c r="B21" s="32" t="s">
        <v>52</v>
      </c>
      <c r="C21" s="39">
        <v>12</v>
      </c>
      <c r="D21" s="40">
        <f>1581909434.38/1000000</f>
        <v>1581.9094343800002</v>
      </c>
      <c r="E21" s="41">
        <f t="shared" si="0"/>
        <v>1.20988601338727</v>
      </c>
      <c r="F21" s="39">
        <v>12</v>
      </c>
      <c r="G21" s="40">
        <v>1569.44674861</v>
      </c>
      <c r="H21" s="41">
        <f t="shared" si="1"/>
        <v>1.2067870662533473</v>
      </c>
      <c r="I21" s="61">
        <f t="shared" si="2"/>
        <v>12.462685770000235</v>
      </c>
      <c r="J21" s="63">
        <f t="shared" si="3"/>
        <v>0.7940814673092902</v>
      </c>
    </row>
    <row r="22" spans="1:10" ht="23.25">
      <c r="A22" s="3">
        <v>16</v>
      </c>
      <c r="B22" s="32" t="s">
        <v>51</v>
      </c>
      <c r="C22" s="4">
        <v>37</v>
      </c>
      <c r="D22" s="20">
        <f>1347885531.66/1000000</f>
        <v>1347.8855316600002</v>
      </c>
      <c r="E22" s="41">
        <f t="shared" si="0"/>
        <v>1.0308983668471863</v>
      </c>
      <c r="F22" s="4">
        <v>36</v>
      </c>
      <c r="G22" s="20">
        <v>1216.59666242</v>
      </c>
      <c r="H22" s="41">
        <f t="shared" si="1"/>
        <v>0.9354717631265614</v>
      </c>
      <c r="I22" s="61">
        <f t="shared" si="2"/>
        <v>131.28886924000017</v>
      </c>
      <c r="J22" s="63">
        <f t="shared" si="3"/>
        <v>10.791486882665465</v>
      </c>
    </row>
    <row r="23" spans="1:10" ht="23.25">
      <c r="A23" s="3">
        <v>17</v>
      </c>
      <c r="B23" s="33" t="s">
        <v>32</v>
      </c>
      <c r="C23" s="4">
        <v>35</v>
      </c>
      <c r="D23" s="20">
        <f>932457847.59/1000000</f>
        <v>932.45784759</v>
      </c>
      <c r="E23" s="41">
        <f t="shared" si="0"/>
        <v>0.71316832895336</v>
      </c>
      <c r="F23" s="4">
        <v>35</v>
      </c>
      <c r="G23" s="20">
        <v>893.6599231499999</v>
      </c>
      <c r="H23" s="41">
        <f t="shared" si="1"/>
        <v>0.6871575845701866</v>
      </c>
      <c r="I23" s="61">
        <f t="shared" si="2"/>
        <v>38.79792444000009</v>
      </c>
      <c r="J23" s="63">
        <f t="shared" si="3"/>
        <v>4.3414640664699355</v>
      </c>
    </row>
    <row r="24" spans="1:10" ht="23.25">
      <c r="A24" s="3">
        <v>18</v>
      </c>
      <c r="B24" s="32" t="s">
        <v>34</v>
      </c>
      <c r="C24" s="39">
        <v>3</v>
      </c>
      <c r="D24" s="40">
        <f>821852052.53/1000000</f>
        <v>821.8520525299999</v>
      </c>
      <c r="E24" s="41">
        <f t="shared" si="0"/>
        <v>0.628574102802151</v>
      </c>
      <c r="F24" s="39">
        <v>3</v>
      </c>
      <c r="G24" s="40">
        <v>812.48948426</v>
      </c>
      <c r="H24" s="41">
        <f t="shared" si="1"/>
        <v>0.6247435932058315</v>
      </c>
      <c r="I24" s="61">
        <f t="shared" si="2"/>
        <v>9.362568269999883</v>
      </c>
      <c r="J24" s="63">
        <f t="shared" si="3"/>
        <v>1.1523310087547942</v>
      </c>
    </row>
    <row r="25" spans="1:10" ht="23.25">
      <c r="A25" s="21">
        <v>19</v>
      </c>
      <c r="B25" s="32" t="s">
        <v>16</v>
      </c>
      <c r="C25" s="4">
        <v>75</v>
      </c>
      <c r="D25" s="20">
        <f>590454715.8/1000000</f>
        <v>590.4547157999999</v>
      </c>
      <c r="E25" s="41">
        <f t="shared" si="0"/>
        <v>0.4515953231323665</v>
      </c>
      <c r="F25" s="4">
        <v>75</v>
      </c>
      <c r="G25" s="20">
        <v>584.7110642</v>
      </c>
      <c r="H25" s="41">
        <f t="shared" si="1"/>
        <v>0.4495990388949057</v>
      </c>
      <c r="I25" s="61">
        <f t="shared" si="2"/>
        <v>5.743651599999907</v>
      </c>
      <c r="J25" s="63">
        <f t="shared" si="3"/>
        <v>0.982305954456045</v>
      </c>
    </row>
    <row r="26" spans="1:10" ht="23.25">
      <c r="A26" s="21">
        <v>20</v>
      </c>
      <c r="B26" s="32" t="s">
        <v>25</v>
      </c>
      <c r="C26" s="5">
        <v>4</v>
      </c>
      <c r="D26" s="20">
        <f>271965409.7/1000000</f>
        <v>271.9654097</v>
      </c>
      <c r="E26" s="41">
        <f t="shared" si="0"/>
        <v>0.208006310709015</v>
      </c>
      <c r="F26" s="5">
        <v>5</v>
      </c>
      <c r="G26" s="20">
        <v>550.78586497</v>
      </c>
      <c r="H26" s="41">
        <f t="shared" si="1"/>
        <v>0.42351310021167776</v>
      </c>
      <c r="I26" s="61">
        <f t="shared" si="2"/>
        <v>-278.82045527</v>
      </c>
      <c r="J26" s="63">
        <f t="shared" si="3"/>
        <v>-50.622296794996124</v>
      </c>
    </row>
    <row r="27" spans="1:10" ht="23.25">
      <c r="A27" s="21">
        <v>21</v>
      </c>
      <c r="B27" s="32" t="s">
        <v>35</v>
      </c>
      <c r="C27" s="54">
        <v>6</v>
      </c>
      <c r="D27" s="20">
        <f>205591015.99/1000000</f>
        <v>205.59101599000002</v>
      </c>
      <c r="E27" s="41">
        <f t="shared" si="0"/>
        <v>0.15724142565839694</v>
      </c>
      <c r="F27" s="54">
        <v>6</v>
      </c>
      <c r="G27" s="20">
        <v>200.74415216</v>
      </c>
      <c r="H27" s="45">
        <f t="shared" si="1"/>
        <v>0.15435722598886426</v>
      </c>
      <c r="I27" s="61">
        <f t="shared" si="2"/>
        <v>4.846863830000018</v>
      </c>
      <c r="J27" s="63">
        <f t="shared" si="3"/>
        <v>2.414448330299007</v>
      </c>
    </row>
    <row r="28" spans="1:10" ht="23.25">
      <c r="A28" s="21">
        <v>22</v>
      </c>
      <c r="B28" s="32" t="s">
        <v>72</v>
      </c>
      <c r="C28" s="54">
        <v>3</v>
      </c>
      <c r="D28" s="20">
        <f>6952588/1000000</f>
        <v>6.952588</v>
      </c>
      <c r="E28" s="41">
        <f t="shared" si="0"/>
        <v>0.005317522479623516</v>
      </c>
      <c r="F28" s="54">
        <v>3</v>
      </c>
      <c r="G28" s="20">
        <v>6.89260024</v>
      </c>
      <c r="H28" s="45">
        <f t="shared" si="1"/>
        <v>0.005299893628027565</v>
      </c>
      <c r="I28" s="61">
        <f t="shared" si="2"/>
        <v>0.05998776000000028</v>
      </c>
      <c r="J28" s="63">
        <f t="shared" si="3"/>
        <v>0.8703211837511162</v>
      </c>
    </row>
    <row r="29" spans="1:10" ht="23.25">
      <c r="A29" s="21">
        <v>23</v>
      </c>
      <c r="B29" s="32" t="s">
        <v>58</v>
      </c>
      <c r="C29" s="54">
        <v>0</v>
      </c>
      <c r="D29" s="42">
        <v>0</v>
      </c>
      <c r="E29" s="41">
        <f t="shared" si="0"/>
        <v>0</v>
      </c>
      <c r="F29" s="54">
        <v>0</v>
      </c>
      <c r="G29" s="20">
        <v>0</v>
      </c>
      <c r="H29" s="45">
        <f t="shared" si="1"/>
        <v>0</v>
      </c>
      <c r="I29" s="61">
        <f t="shared" si="2"/>
        <v>0</v>
      </c>
      <c r="J29" s="63">
        <v>0</v>
      </c>
    </row>
    <row r="30" spans="1:10" ht="24" thickBot="1">
      <c r="A30" s="21">
        <v>24</v>
      </c>
      <c r="B30" s="32" t="s">
        <v>23</v>
      </c>
      <c r="C30" s="5"/>
      <c r="D30" s="42"/>
      <c r="E30" s="41">
        <f t="shared" si="0"/>
        <v>0</v>
      </c>
      <c r="F30" s="53"/>
      <c r="G30" s="58"/>
      <c r="H30" s="45">
        <f t="shared" si="1"/>
        <v>0</v>
      </c>
      <c r="I30" s="61">
        <f t="shared" si="2"/>
        <v>0</v>
      </c>
      <c r="J30" s="63">
        <v>0</v>
      </c>
    </row>
    <row r="31" spans="1:11" ht="24" thickBot="1">
      <c r="A31" s="70" t="s">
        <v>11</v>
      </c>
      <c r="B31" s="71"/>
      <c r="C31" s="6">
        <f aca="true" t="shared" si="4" ref="C31:I31">SUM(C7:C30)</f>
        <v>1212</v>
      </c>
      <c r="D31" s="37">
        <f t="shared" si="4"/>
        <v>130748.63391065999</v>
      </c>
      <c r="E31" s="38">
        <f t="shared" si="4"/>
        <v>100</v>
      </c>
      <c r="F31" s="6">
        <f t="shared" si="4"/>
        <v>1243</v>
      </c>
      <c r="G31" s="59">
        <f t="shared" si="4"/>
        <v>130051.67129297998</v>
      </c>
      <c r="H31" s="60">
        <f t="shared" si="4"/>
        <v>100.00000000000001</v>
      </c>
      <c r="I31" s="43">
        <f t="shared" si="4"/>
        <v>696.96261768</v>
      </c>
      <c r="J31" s="66">
        <f>(D31-G31)/G31*100</f>
        <v>0.5359120807528057</v>
      </c>
      <c r="K31" s="7"/>
    </row>
    <row r="32" spans="1:11" ht="5.25" customHeight="1">
      <c r="A32" s="22"/>
      <c r="B32" s="34"/>
      <c r="C32" s="23"/>
      <c r="D32" s="24"/>
      <c r="E32" s="25"/>
      <c r="F32" s="23"/>
      <c r="G32" s="24"/>
      <c r="H32" s="25"/>
      <c r="I32" s="26"/>
      <c r="J32" s="27"/>
      <c r="K32" s="7"/>
    </row>
    <row r="33" spans="2:10" ht="21">
      <c r="B33" s="35" t="s">
        <v>71</v>
      </c>
      <c r="H33" s="17" t="s">
        <v>10</v>
      </c>
      <c r="J33" s="18"/>
    </row>
    <row r="34" spans="2:10" ht="21">
      <c r="B34" s="68" t="s">
        <v>54</v>
      </c>
      <c r="H34" s="17" t="s">
        <v>9</v>
      </c>
      <c r="J34" s="18"/>
    </row>
    <row r="35" spans="2:10" ht="21">
      <c r="B35" s="67"/>
      <c r="H35" s="17"/>
      <c r="J35" s="18"/>
    </row>
    <row r="36" spans="2:10" ht="21">
      <c r="B36" s="67"/>
      <c r="H36" s="17"/>
      <c r="J36" s="18"/>
    </row>
    <row r="38" ht="21">
      <c r="F38" s="64"/>
    </row>
  </sheetData>
  <mergeCells count="6">
    <mergeCell ref="A31:B31"/>
    <mergeCell ref="F4:H4"/>
    <mergeCell ref="A1:J1"/>
    <mergeCell ref="A2:J2"/>
    <mergeCell ref="C4:E4"/>
    <mergeCell ref="I4:J4"/>
  </mergeCells>
  <printOptions horizontalCentered="1" verticalCentered="1"/>
  <pageMargins left="0.1968503937007874" right="0.1968503937007874" top="0.17" bottom="0.17" header="0.25" footer="0.15748031496062992"/>
  <pageSetup fitToHeight="1" fitToWidth="1" horizontalDpi="1200" verticalDpi="1200" orientation="landscape" paperSize="9" scale="8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zoomScale="75" zoomScaleNormal="75" workbookViewId="0" topLeftCell="A1">
      <selection activeCell="A1" sqref="A1:J1"/>
    </sheetView>
  </sheetViews>
  <sheetFormatPr defaultColWidth="9.140625" defaultRowHeight="21.75"/>
  <cols>
    <col min="1" max="1" width="6.57421875" style="1" customWidth="1"/>
    <col min="2" max="2" width="55.7109375" style="35" customWidth="1"/>
    <col min="3" max="3" width="11.00390625" style="1" customWidth="1"/>
    <col min="4" max="4" width="14.8515625" style="1" customWidth="1"/>
    <col min="5" max="5" width="10.421875" style="1" customWidth="1"/>
    <col min="6" max="6" width="10.7109375" style="1" customWidth="1"/>
    <col min="7" max="7" width="14.7109375" style="1" customWidth="1"/>
    <col min="8" max="8" width="10.00390625" style="1" customWidth="1"/>
    <col min="9" max="9" width="15.00390625" style="1" customWidth="1"/>
    <col min="10" max="10" width="10.28125" style="1" customWidth="1"/>
    <col min="11" max="16384" width="9.140625" style="1" customWidth="1"/>
  </cols>
  <sheetData>
    <row r="1" spans="1:10" ht="23.25">
      <c r="A1" s="75" t="s">
        <v>12</v>
      </c>
      <c r="B1" s="76"/>
      <c r="C1" s="76"/>
      <c r="D1" s="76"/>
      <c r="E1" s="76"/>
      <c r="F1" s="76"/>
      <c r="G1" s="76"/>
      <c r="H1" s="76"/>
      <c r="I1" s="76"/>
      <c r="J1" s="76"/>
    </row>
    <row r="2" spans="1:10" ht="23.25">
      <c r="A2" s="75" t="s">
        <v>75</v>
      </c>
      <c r="B2" s="76"/>
      <c r="C2" s="76"/>
      <c r="D2" s="76"/>
      <c r="E2" s="76"/>
      <c r="F2" s="76"/>
      <c r="G2" s="76"/>
      <c r="H2" s="76"/>
      <c r="I2" s="76"/>
      <c r="J2" s="76"/>
    </row>
    <row r="3" spans="1:10" ht="5.25" customHeight="1" thickBot="1">
      <c r="A3" s="19"/>
      <c r="B3" s="28"/>
      <c r="C3" s="2"/>
      <c r="D3" s="19"/>
      <c r="E3" s="19"/>
      <c r="F3" s="2"/>
      <c r="G3" s="2"/>
      <c r="H3" s="2"/>
      <c r="I3" s="19"/>
      <c r="J3" s="19"/>
    </row>
    <row r="4" spans="1:10" ht="22.5" customHeight="1" thickBot="1">
      <c r="A4" s="8"/>
      <c r="B4" s="29"/>
      <c r="C4" s="72" t="s">
        <v>74</v>
      </c>
      <c r="D4" s="73"/>
      <c r="E4" s="74"/>
      <c r="F4" s="72" t="s">
        <v>70</v>
      </c>
      <c r="G4" s="73"/>
      <c r="H4" s="74"/>
      <c r="I4" s="77" t="s">
        <v>8</v>
      </c>
      <c r="J4" s="74"/>
    </row>
    <row r="5" spans="1:10" ht="23.25">
      <c r="A5" s="9" t="s">
        <v>0</v>
      </c>
      <c r="B5" s="30" t="s">
        <v>1</v>
      </c>
      <c r="C5" s="10" t="s">
        <v>2</v>
      </c>
      <c r="D5" s="11" t="s">
        <v>5</v>
      </c>
      <c r="E5" s="12" t="s">
        <v>3</v>
      </c>
      <c r="F5" s="10" t="s">
        <v>2</v>
      </c>
      <c r="G5" s="11" t="s">
        <v>5</v>
      </c>
      <c r="H5" s="56" t="s">
        <v>3</v>
      </c>
      <c r="I5" s="10" t="s">
        <v>5</v>
      </c>
      <c r="J5" s="56" t="s">
        <v>7</v>
      </c>
    </row>
    <row r="6" spans="1:10" ht="24" thickBot="1">
      <c r="A6" s="13"/>
      <c r="B6" s="31"/>
      <c r="C6" s="14" t="s">
        <v>4</v>
      </c>
      <c r="D6" s="15" t="s">
        <v>6</v>
      </c>
      <c r="E6" s="16"/>
      <c r="F6" s="14" t="s">
        <v>4</v>
      </c>
      <c r="G6" s="15" t="s">
        <v>6</v>
      </c>
      <c r="H6" s="57"/>
      <c r="I6" s="14" t="s">
        <v>6</v>
      </c>
      <c r="J6" s="57"/>
    </row>
    <row r="7" spans="1:10" ht="23.25">
      <c r="A7" s="3">
        <v>1</v>
      </c>
      <c r="B7" s="32" t="s">
        <v>22</v>
      </c>
      <c r="C7" s="39">
        <v>200</v>
      </c>
      <c r="D7" s="20">
        <f>29286040865.56/1000000</f>
        <v>29286.04086556</v>
      </c>
      <c r="E7" s="41">
        <f aca="true" t="shared" si="0" ref="E7:E30">(D7/$D$31)*100</f>
        <v>22.238300649931208</v>
      </c>
      <c r="F7" s="39">
        <v>200</v>
      </c>
      <c r="G7" s="20">
        <v>29065.66959427</v>
      </c>
      <c r="H7" s="44">
        <f aca="true" t="shared" si="1" ref="H7:H30">(G7/$G$31)*100</f>
        <v>22.230189887972713</v>
      </c>
      <c r="I7" s="61">
        <f aca="true" t="shared" si="2" ref="I7:I30">(D7-G7)</f>
        <v>220.37127129000146</v>
      </c>
      <c r="J7" s="62">
        <f aca="true" t="shared" si="3" ref="J7:J28">(D7-G7)/G7*100</f>
        <v>0.7581840513780747</v>
      </c>
    </row>
    <row r="8" spans="1:10" ht="23.25">
      <c r="A8" s="3">
        <v>2</v>
      </c>
      <c r="B8" s="32" t="s">
        <v>19</v>
      </c>
      <c r="C8" s="4">
        <f>132</f>
        <v>132</v>
      </c>
      <c r="D8" s="20">
        <f>22714649443.59/1000000</f>
        <v>22714.64944359</v>
      </c>
      <c r="E8" s="41">
        <f t="shared" si="0"/>
        <v>17.248326798532176</v>
      </c>
      <c r="F8" s="4">
        <v>126</v>
      </c>
      <c r="G8" s="20">
        <v>22550.6549902</v>
      </c>
      <c r="H8" s="41">
        <f t="shared" si="1"/>
        <v>17.247335070138302</v>
      </c>
      <c r="I8" s="61">
        <f t="shared" si="2"/>
        <v>163.99445338999794</v>
      </c>
      <c r="J8" s="63">
        <f t="shared" si="3"/>
        <v>0.7272270072034102</v>
      </c>
    </row>
    <row r="9" spans="1:10" ht="23.25">
      <c r="A9" s="3">
        <v>3</v>
      </c>
      <c r="B9" s="32" t="s">
        <v>14</v>
      </c>
      <c r="C9" s="39">
        <v>29</v>
      </c>
      <c r="D9" s="20">
        <f>(569272606.83+16885629007.34)/1000000</f>
        <v>17454.90161417</v>
      </c>
      <c r="E9" s="41">
        <f t="shared" si="0"/>
        <v>13.254347069062577</v>
      </c>
      <c r="F9" s="39">
        <v>29</v>
      </c>
      <c r="G9" s="20">
        <v>17348.51373557</v>
      </c>
      <c r="H9" s="41">
        <f t="shared" si="1"/>
        <v>13.268600379736409</v>
      </c>
      <c r="I9" s="61">
        <f t="shared" si="2"/>
        <v>106.3878786000023</v>
      </c>
      <c r="J9" s="63">
        <f t="shared" si="3"/>
        <v>0.6132391524806712</v>
      </c>
    </row>
    <row r="10" spans="1:10" ht="23.25">
      <c r="A10" s="3">
        <v>4</v>
      </c>
      <c r="B10" s="32" t="s">
        <v>17</v>
      </c>
      <c r="C10" s="39">
        <v>48</v>
      </c>
      <c r="D10" s="20">
        <f>15608179405.05/1000000</f>
        <v>15608.17940505</v>
      </c>
      <c r="E10" s="41">
        <f t="shared" si="0"/>
        <v>11.852041995056785</v>
      </c>
      <c r="F10" s="39">
        <v>48</v>
      </c>
      <c r="G10" s="20">
        <v>15470.48709757</v>
      </c>
      <c r="H10" s="41">
        <f t="shared" si="1"/>
        <v>11.83223612733187</v>
      </c>
      <c r="I10" s="61">
        <f t="shared" si="2"/>
        <v>137.69230747999973</v>
      </c>
      <c r="J10" s="63">
        <f t="shared" si="3"/>
        <v>0.8900321406274758</v>
      </c>
    </row>
    <row r="11" spans="1:10" ht="23.25">
      <c r="A11" s="3">
        <v>5</v>
      </c>
      <c r="B11" s="32" t="s">
        <v>21</v>
      </c>
      <c r="C11" s="4">
        <v>10</v>
      </c>
      <c r="D11" s="20">
        <f>7583837.64/1000</f>
        <v>7583.83764</v>
      </c>
      <c r="E11" s="41">
        <f t="shared" si="0"/>
        <v>5.758773003588781</v>
      </c>
      <c r="F11" s="4">
        <v>10</v>
      </c>
      <c r="G11" s="20">
        <v>7522.478929999999</v>
      </c>
      <c r="H11" s="41">
        <f t="shared" si="1"/>
        <v>5.753390077589704</v>
      </c>
      <c r="I11" s="61">
        <f t="shared" si="2"/>
        <v>61.35871000000043</v>
      </c>
      <c r="J11" s="63">
        <f t="shared" si="3"/>
        <v>0.8156714105944386</v>
      </c>
    </row>
    <row r="12" spans="1:10" ht="23.25">
      <c r="A12" s="3">
        <v>6</v>
      </c>
      <c r="B12" s="32" t="s">
        <v>30</v>
      </c>
      <c r="C12" s="4">
        <v>277</v>
      </c>
      <c r="D12" s="20">
        <f>6923.62</f>
        <v>6923.62</v>
      </c>
      <c r="E12" s="41">
        <f t="shared" si="0"/>
        <v>5.257437966869153</v>
      </c>
      <c r="F12" s="4">
        <v>288</v>
      </c>
      <c r="G12" s="20">
        <v>6940.97</v>
      </c>
      <c r="H12" s="41">
        <f t="shared" si="1"/>
        <v>5.308636727128436</v>
      </c>
      <c r="I12" s="61">
        <f t="shared" si="2"/>
        <v>-17.350000000000364</v>
      </c>
      <c r="J12" s="63">
        <f t="shared" si="3"/>
        <v>-0.2499650625200853</v>
      </c>
    </row>
    <row r="13" spans="1:10" ht="23.25">
      <c r="A13" s="3">
        <v>7</v>
      </c>
      <c r="B13" s="33" t="s">
        <v>26</v>
      </c>
      <c r="C13" s="5">
        <v>16</v>
      </c>
      <c r="D13" s="20">
        <f>6882412163.9/1000000</f>
        <v>6882.4121638999995</v>
      </c>
      <c r="E13" s="41">
        <f t="shared" si="0"/>
        <v>5.226146873186273</v>
      </c>
      <c r="F13" s="5">
        <v>16</v>
      </c>
      <c r="G13" s="20">
        <v>6710.56134251</v>
      </c>
      <c r="H13" s="41">
        <f t="shared" si="1"/>
        <v>5.132414115389763</v>
      </c>
      <c r="I13" s="61">
        <f t="shared" si="2"/>
        <v>171.8508213899995</v>
      </c>
      <c r="J13" s="63">
        <f t="shared" si="3"/>
        <v>2.5609008340533386</v>
      </c>
    </row>
    <row r="14" spans="1:10" ht="23.25">
      <c r="A14" s="3">
        <v>8</v>
      </c>
      <c r="B14" s="33" t="s">
        <v>20</v>
      </c>
      <c r="C14" s="5">
        <v>110</v>
      </c>
      <c r="D14" s="20">
        <f>4013.74</f>
        <v>4013.74</v>
      </c>
      <c r="E14" s="41">
        <f t="shared" si="0"/>
        <v>3.047826002169587</v>
      </c>
      <c r="F14" s="5">
        <v>110</v>
      </c>
      <c r="G14" s="20">
        <v>3979.26</v>
      </c>
      <c r="H14" s="41">
        <f t="shared" si="1"/>
        <v>3.0434428880679643</v>
      </c>
      <c r="I14" s="61">
        <f t="shared" si="2"/>
        <v>34.47999999999956</v>
      </c>
      <c r="J14" s="63">
        <f t="shared" si="3"/>
        <v>0.8664927649864438</v>
      </c>
    </row>
    <row r="15" spans="1:10" ht="23.25">
      <c r="A15" s="3">
        <v>9</v>
      </c>
      <c r="B15" s="32" t="s">
        <v>24</v>
      </c>
      <c r="C15" s="39">
        <v>61</v>
      </c>
      <c r="D15" s="20">
        <f>3260.25</f>
        <v>3260.25</v>
      </c>
      <c r="E15" s="41">
        <f t="shared" si="0"/>
        <v>2.475664772400154</v>
      </c>
      <c r="F15" s="39">
        <v>65</v>
      </c>
      <c r="G15" s="20">
        <v>3353.32</v>
      </c>
      <c r="H15" s="41">
        <f t="shared" si="1"/>
        <v>2.5647074846619886</v>
      </c>
      <c r="I15" s="61">
        <f t="shared" si="2"/>
        <v>-93.07000000000016</v>
      </c>
      <c r="J15" s="63">
        <f t="shared" si="3"/>
        <v>-2.7754583517230733</v>
      </c>
    </row>
    <row r="16" spans="1:10" ht="23.25">
      <c r="A16" s="3">
        <v>10</v>
      </c>
      <c r="B16" s="32" t="s">
        <v>57</v>
      </c>
      <c r="C16" s="39">
        <v>3</v>
      </c>
      <c r="D16" s="40">
        <f>3196483339.02/1000000</f>
        <v>3196.48333902</v>
      </c>
      <c r="E16" s="41">
        <f t="shared" si="0"/>
        <v>2.427243677011221</v>
      </c>
      <c r="F16" s="39">
        <v>3</v>
      </c>
      <c r="G16" s="40">
        <v>3103.85264042</v>
      </c>
      <c r="H16" s="41">
        <f t="shared" si="1"/>
        <v>2.3739082754324228</v>
      </c>
      <c r="I16" s="61">
        <f t="shared" si="2"/>
        <v>92.63069859999996</v>
      </c>
      <c r="J16" s="63">
        <f t="shared" si="3"/>
        <v>2.9843781046082642</v>
      </c>
    </row>
    <row r="17" spans="1:10" ht="23.25">
      <c r="A17" s="3">
        <v>11</v>
      </c>
      <c r="B17" s="32" t="s">
        <v>31</v>
      </c>
      <c r="C17" s="5">
        <v>49</v>
      </c>
      <c r="D17" s="20">
        <f>3104024053.36/1000000</f>
        <v>3104.02405336</v>
      </c>
      <c r="E17" s="41">
        <f t="shared" si="0"/>
        <v>2.357034890448919</v>
      </c>
      <c r="F17" s="5">
        <v>49</v>
      </c>
      <c r="G17" s="20">
        <v>3090.57522035</v>
      </c>
      <c r="H17" s="41">
        <f t="shared" si="1"/>
        <v>2.363753354747689</v>
      </c>
      <c r="I17" s="61">
        <f t="shared" si="2"/>
        <v>13.448833009999817</v>
      </c>
      <c r="J17" s="63">
        <f t="shared" si="3"/>
        <v>0.43515630751989165</v>
      </c>
    </row>
    <row r="18" spans="1:10" ht="23.25">
      <c r="A18" s="3">
        <v>12</v>
      </c>
      <c r="B18" s="32" t="s">
        <v>46</v>
      </c>
      <c r="C18" s="54">
        <v>54</v>
      </c>
      <c r="D18" s="20">
        <f>2245737055.69/1000000</f>
        <v>2245.73705569</v>
      </c>
      <c r="E18" s="41">
        <f t="shared" si="0"/>
        <v>1.705296255454452</v>
      </c>
      <c r="F18" s="39">
        <v>54</v>
      </c>
      <c r="G18" s="20">
        <v>2255.6316053299997</v>
      </c>
      <c r="H18" s="41">
        <f t="shared" si="1"/>
        <v>1.725166480034708</v>
      </c>
      <c r="I18" s="61">
        <f t="shared" si="2"/>
        <v>-9.894549639999696</v>
      </c>
      <c r="J18" s="63">
        <f t="shared" si="3"/>
        <v>-0.4386598244420378</v>
      </c>
    </row>
    <row r="19" spans="1:10" ht="23.25">
      <c r="A19" s="3">
        <v>13</v>
      </c>
      <c r="B19" s="32" t="s">
        <v>36</v>
      </c>
      <c r="C19" s="4">
        <v>35</v>
      </c>
      <c r="D19" s="20">
        <f>1931.44</f>
        <v>1931.44</v>
      </c>
      <c r="E19" s="41">
        <f t="shared" si="0"/>
        <v>1.466635370908536</v>
      </c>
      <c r="F19" s="4">
        <v>36</v>
      </c>
      <c r="G19" s="20">
        <v>1940.17</v>
      </c>
      <c r="H19" s="41">
        <f t="shared" si="1"/>
        <v>1.4838931329299472</v>
      </c>
      <c r="I19" s="61">
        <f t="shared" si="2"/>
        <v>-8.730000000000018</v>
      </c>
      <c r="J19" s="63">
        <f t="shared" si="3"/>
        <v>-0.4499605704654756</v>
      </c>
    </row>
    <row r="20" spans="1:10" ht="23.25">
      <c r="A20" s="3">
        <v>14</v>
      </c>
      <c r="B20" s="32" t="s">
        <v>33</v>
      </c>
      <c r="C20" s="4">
        <v>3</v>
      </c>
      <c r="D20" s="20">
        <f>1657857156.13/1000000</f>
        <v>1657.85715613</v>
      </c>
      <c r="E20" s="41">
        <f t="shared" si="0"/>
        <v>1.2588907473667799</v>
      </c>
      <c r="F20" s="4">
        <v>3</v>
      </c>
      <c r="G20" s="20">
        <v>1657.42015879</v>
      </c>
      <c r="H20" s="41">
        <f t="shared" si="1"/>
        <v>1.2676386048687196</v>
      </c>
      <c r="I20" s="61">
        <f t="shared" si="2"/>
        <v>0.43699734000006174</v>
      </c>
      <c r="J20" s="63">
        <f t="shared" si="3"/>
        <v>0.026366117105700693</v>
      </c>
    </row>
    <row r="21" spans="1:10" ht="23.25">
      <c r="A21" s="46">
        <v>15</v>
      </c>
      <c r="B21" s="32" t="s">
        <v>52</v>
      </c>
      <c r="C21" s="39">
        <v>12</v>
      </c>
      <c r="D21" s="40">
        <f>1608539417.22/1000000</f>
        <v>1608.5394172200001</v>
      </c>
      <c r="E21" s="41">
        <f t="shared" si="0"/>
        <v>1.22144141407212</v>
      </c>
      <c r="F21" s="39">
        <v>12</v>
      </c>
      <c r="G21" s="40">
        <v>1581.9094343800002</v>
      </c>
      <c r="H21" s="41">
        <f t="shared" si="1"/>
        <v>1.20988601338727</v>
      </c>
      <c r="I21" s="61">
        <f t="shared" si="2"/>
        <v>26.62998283999991</v>
      </c>
      <c r="J21" s="63">
        <f t="shared" si="3"/>
        <v>1.683407549208848</v>
      </c>
    </row>
    <row r="22" spans="1:10" ht="23.25">
      <c r="A22" s="3">
        <v>16</v>
      </c>
      <c r="B22" s="32" t="s">
        <v>51</v>
      </c>
      <c r="C22" s="4">
        <v>37</v>
      </c>
      <c r="D22" s="20">
        <f>1363384589.76/1000000</f>
        <v>1363.38458976</v>
      </c>
      <c r="E22" s="41">
        <f t="shared" si="0"/>
        <v>1.035283551906163</v>
      </c>
      <c r="F22" s="4">
        <v>37</v>
      </c>
      <c r="G22" s="20">
        <v>1347.8855316600002</v>
      </c>
      <c r="H22" s="41">
        <f t="shared" si="1"/>
        <v>1.0308983668471863</v>
      </c>
      <c r="I22" s="61">
        <f t="shared" si="2"/>
        <v>15.49905809999973</v>
      </c>
      <c r="J22" s="63">
        <f t="shared" si="3"/>
        <v>1.1498794026605308</v>
      </c>
    </row>
    <row r="23" spans="1:10" ht="23.25">
      <c r="A23" s="3">
        <v>17</v>
      </c>
      <c r="B23" s="33" t="s">
        <v>32</v>
      </c>
      <c r="C23" s="4">
        <v>35</v>
      </c>
      <c r="D23" s="20">
        <f>935283153.45/1000000</f>
        <v>935.2831534500001</v>
      </c>
      <c r="E23" s="41">
        <f t="shared" si="0"/>
        <v>0.7102055226487212</v>
      </c>
      <c r="F23" s="4">
        <v>35</v>
      </c>
      <c r="G23" s="20">
        <v>932.45784759</v>
      </c>
      <c r="H23" s="41">
        <f t="shared" si="1"/>
        <v>0.71316832895336</v>
      </c>
      <c r="I23" s="61">
        <f t="shared" si="2"/>
        <v>2.8253058600000713</v>
      </c>
      <c r="J23" s="63">
        <f t="shared" si="3"/>
        <v>0.30299555816944046</v>
      </c>
    </row>
    <row r="24" spans="1:10" ht="23.25">
      <c r="A24" s="3">
        <v>18</v>
      </c>
      <c r="B24" s="32" t="s">
        <v>34</v>
      </c>
      <c r="C24" s="39">
        <v>3</v>
      </c>
      <c r="D24" s="40">
        <f>827138408.28/1000000</f>
        <v>827.13840828</v>
      </c>
      <c r="E24" s="41">
        <f t="shared" si="0"/>
        <v>0.6280860115874342</v>
      </c>
      <c r="F24" s="39">
        <v>3</v>
      </c>
      <c r="G24" s="40">
        <v>821.8520525299999</v>
      </c>
      <c r="H24" s="41">
        <f t="shared" si="1"/>
        <v>0.628574102802151</v>
      </c>
      <c r="I24" s="61">
        <f t="shared" si="2"/>
        <v>5.286355750000098</v>
      </c>
      <c r="J24" s="63">
        <f t="shared" si="3"/>
        <v>0.6432247426682834</v>
      </c>
    </row>
    <row r="25" spans="1:10" ht="23.25">
      <c r="A25" s="21">
        <v>19</v>
      </c>
      <c r="B25" s="32" t="s">
        <v>16</v>
      </c>
      <c r="C25" s="4">
        <v>75</v>
      </c>
      <c r="D25" s="20">
        <f>587922982.06/1000000</f>
        <v>587.92298206</v>
      </c>
      <c r="E25" s="41">
        <f t="shared" si="0"/>
        <v>0.4464382227039</v>
      </c>
      <c r="F25" s="4">
        <v>75</v>
      </c>
      <c r="G25" s="20">
        <v>590.4547157999999</v>
      </c>
      <c r="H25" s="41">
        <f t="shared" si="1"/>
        <v>0.4515953231323665</v>
      </c>
      <c r="I25" s="61">
        <f t="shared" si="2"/>
        <v>-2.531733739999936</v>
      </c>
      <c r="J25" s="63">
        <f t="shared" si="3"/>
        <v>-0.4287769531266628</v>
      </c>
    </row>
    <row r="26" spans="1:10" ht="23.25">
      <c r="A26" s="21">
        <v>20</v>
      </c>
      <c r="B26" s="32" t="s">
        <v>25</v>
      </c>
      <c r="C26" s="5">
        <v>5</v>
      </c>
      <c r="D26" s="20">
        <f>293311472.14/1000000</f>
        <v>293.31147214</v>
      </c>
      <c r="E26" s="41">
        <f t="shared" si="0"/>
        <v>0.22272552071706994</v>
      </c>
      <c r="F26" s="5">
        <v>4</v>
      </c>
      <c r="G26" s="20">
        <v>271.9654097</v>
      </c>
      <c r="H26" s="41">
        <f t="shared" si="1"/>
        <v>0.208006310709015</v>
      </c>
      <c r="I26" s="61">
        <f t="shared" si="2"/>
        <v>21.34606243999997</v>
      </c>
      <c r="J26" s="63">
        <f t="shared" si="3"/>
        <v>7.848815209090897</v>
      </c>
    </row>
    <row r="27" spans="1:10" ht="23.25">
      <c r="A27" s="21">
        <v>21</v>
      </c>
      <c r="B27" s="32" t="s">
        <v>35</v>
      </c>
      <c r="C27" s="54">
        <v>6</v>
      </c>
      <c r="D27" s="20">
        <f>206203308.78/1000000</f>
        <v>206.20330878000001</v>
      </c>
      <c r="E27" s="41">
        <f t="shared" si="0"/>
        <v>0.15658009891848707</v>
      </c>
      <c r="F27" s="54">
        <v>6</v>
      </c>
      <c r="G27" s="20">
        <v>205.59101599000002</v>
      </c>
      <c r="H27" s="45">
        <f t="shared" si="1"/>
        <v>0.15724142565839694</v>
      </c>
      <c r="I27" s="61">
        <f t="shared" si="2"/>
        <v>0.6122927899999979</v>
      </c>
      <c r="J27" s="63">
        <f t="shared" si="3"/>
        <v>0.297820790977452</v>
      </c>
    </row>
    <row r="28" spans="1:10" ht="23.25">
      <c r="A28" s="21">
        <v>22</v>
      </c>
      <c r="B28" s="32" t="s">
        <v>72</v>
      </c>
      <c r="C28" s="54">
        <v>3</v>
      </c>
      <c r="D28" s="20">
        <f>6944884.94/1000000</f>
        <v>6.944884940000001</v>
      </c>
      <c r="E28" s="41">
        <f t="shared" si="0"/>
        <v>0.005273585459498615</v>
      </c>
      <c r="F28" s="54">
        <v>3</v>
      </c>
      <c r="G28" s="20">
        <v>6.952588</v>
      </c>
      <c r="H28" s="45">
        <f t="shared" si="1"/>
        <v>0.005317522479623516</v>
      </c>
      <c r="I28" s="61">
        <f t="shared" si="2"/>
        <v>-0.007703059999999873</v>
      </c>
      <c r="J28" s="63">
        <f t="shared" si="3"/>
        <v>-0.11079413881564494</v>
      </c>
    </row>
    <row r="29" spans="1:10" ht="23.25">
      <c r="A29" s="21">
        <v>23</v>
      </c>
      <c r="B29" s="32" t="s">
        <v>58</v>
      </c>
      <c r="C29" s="54"/>
      <c r="D29" s="42"/>
      <c r="E29" s="41">
        <f t="shared" si="0"/>
        <v>0</v>
      </c>
      <c r="F29" s="54">
        <v>0</v>
      </c>
      <c r="G29" s="20">
        <v>0</v>
      </c>
      <c r="H29" s="45">
        <f t="shared" si="1"/>
        <v>0</v>
      </c>
      <c r="I29" s="61">
        <f t="shared" si="2"/>
        <v>0</v>
      </c>
      <c r="J29" s="63">
        <v>0</v>
      </c>
    </row>
    <row r="30" spans="1:10" ht="24" thickBot="1">
      <c r="A30" s="21">
        <v>24</v>
      </c>
      <c r="B30" s="32" t="s">
        <v>23</v>
      </c>
      <c r="C30" s="5"/>
      <c r="D30" s="42"/>
      <c r="E30" s="41">
        <f t="shared" si="0"/>
        <v>0</v>
      </c>
      <c r="F30" s="53"/>
      <c r="G30" s="58"/>
      <c r="H30" s="45">
        <f t="shared" si="1"/>
        <v>0</v>
      </c>
      <c r="I30" s="61">
        <f t="shared" si="2"/>
        <v>0</v>
      </c>
      <c r="J30" s="63">
        <v>0</v>
      </c>
    </row>
    <row r="31" spans="1:11" ht="24" thickBot="1">
      <c r="A31" s="70" t="s">
        <v>11</v>
      </c>
      <c r="B31" s="71"/>
      <c r="C31" s="6">
        <f aca="true" t="shared" si="4" ref="C31:I31">SUM(C7:C30)</f>
        <v>1203</v>
      </c>
      <c r="D31" s="37">
        <f t="shared" si="4"/>
        <v>131691.9009531</v>
      </c>
      <c r="E31" s="38">
        <f t="shared" si="4"/>
        <v>99.99999999999996</v>
      </c>
      <c r="F31" s="6">
        <f t="shared" si="4"/>
        <v>1212</v>
      </c>
      <c r="G31" s="59">
        <f t="shared" si="4"/>
        <v>130748.63391065999</v>
      </c>
      <c r="H31" s="60">
        <f t="shared" si="4"/>
        <v>100</v>
      </c>
      <c r="I31" s="43">
        <f t="shared" si="4"/>
        <v>943.2670424400003</v>
      </c>
      <c r="J31" s="66">
        <f>(D31-G31)/G31*100</f>
        <v>0.7214354859604449</v>
      </c>
      <c r="K31" s="7"/>
    </row>
    <row r="32" spans="1:11" ht="5.25" customHeight="1">
      <c r="A32" s="22"/>
      <c r="B32" s="34"/>
      <c r="C32" s="23"/>
      <c r="D32" s="24"/>
      <c r="E32" s="25"/>
      <c r="F32" s="23"/>
      <c r="G32" s="24"/>
      <c r="H32" s="25"/>
      <c r="I32" s="26"/>
      <c r="J32" s="27"/>
      <c r="K32" s="7"/>
    </row>
    <row r="33" spans="2:10" ht="21">
      <c r="B33" s="35" t="s">
        <v>76</v>
      </c>
      <c r="H33" s="17" t="s">
        <v>10</v>
      </c>
      <c r="J33" s="18"/>
    </row>
    <row r="34" spans="2:10" ht="21">
      <c r="B34" s="68" t="s">
        <v>54</v>
      </c>
      <c r="H34" s="17" t="s">
        <v>9</v>
      </c>
      <c r="J34" s="18"/>
    </row>
    <row r="35" spans="2:10" ht="21">
      <c r="B35" s="67"/>
      <c r="H35" s="17"/>
      <c r="J35" s="18"/>
    </row>
    <row r="36" spans="2:10" ht="21">
      <c r="B36" s="67"/>
      <c r="H36" s="17"/>
      <c r="J36" s="18"/>
    </row>
    <row r="38" ht="21">
      <c r="F38" s="64"/>
    </row>
  </sheetData>
  <mergeCells count="6">
    <mergeCell ref="A31:B31"/>
    <mergeCell ref="F4:H4"/>
    <mergeCell ref="A1:J1"/>
    <mergeCell ref="A2:J2"/>
    <mergeCell ref="C4:E4"/>
    <mergeCell ref="I4:J4"/>
  </mergeCells>
  <printOptions horizontalCentered="1" verticalCentered="1"/>
  <pageMargins left="0.1968503937007874" right="0.1968503937007874" top="0.17" bottom="0.17" header="0.25" footer="0.15748031496062992"/>
  <pageSetup fitToHeight="1" fitToWidth="1" horizontalDpi="1200" verticalDpi="12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vee</cp:lastModifiedBy>
  <cp:lastPrinted>2007-01-30T02:35:18Z</cp:lastPrinted>
  <dcterms:created xsi:type="dcterms:W3CDTF">2000-11-28T04:01:07Z</dcterms:created>
  <dcterms:modified xsi:type="dcterms:W3CDTF">2002-04-09T04:03:33Z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