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090" tabRatio="815" activeTab="12"/>
  </bookViews>
  <sheets>
    <sheet name="12-47" sheetId="1" r:id="rId1"/>
    <sheet name="1-48" sheetId="2" r:id="rId2"/>
    <sheet name="2-48" sheetId="3" r:id="rId3"/>
    <sheet name="3-48" sheetId="4" r:id="rId4"/>
    <sheet name="4-48" sheetId="5" r:id="rId5"/>
    <sheet name="5-48" sheetId="6" r:id="rId6"/>
    <sheet name="6-48" sheetId="7" r:id="rId7"/>
    <sheet name="7-48" sheetId="8" r:id="rId8"/>
    <sheet name="8-48" sheetId="9" r:id="rId9"/>
    <sheet name="9-48" sheetId="10" r:id="rId10"/>
    <sheet name="10-48" sheetId="11" r:id="rId11"/>
    <sheet name="11-48" sheetId="12" r:id="rId12"/>
    <sheet name="12-48" sheetId="13" r:id="rId13"/>
  </sheets>
  <definedNames>
    <definedName name="_xlnm.Print_Area" localSheetId="12">'12-48'!$A$1:$J$36</definedName>
  </definedNames>
  <calcPr fullCalcOnLoad="1"/>
</workbook>
</file>

<file path=xl/sharedStrings.xml><?xml version="1.0" encoding="utf-8"?>
<sst xmlns="http://schemas.openxmlformats.org/spreadsheetml/2006/main" count="677" uniqueCount="90">
  <si>
    <t>รายงานแสดงการจัดการกองทุนส่วนบุคคล</t>
  </si>
  <si>
    <t>ณ  30 ธันวาคม 2547</t>
  </si>
  <si>
    <t>ธันวาคม 2547</t>
  </si>
  <si>
    <t>พฤศจิกายน 2547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</si>
  <si>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</si>
  <si>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</si>
  <si>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</si>
  <si>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</si>
  <si>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</si>
  <si>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</si>
  <si>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</si>
  <si>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</si>
  <si>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</si>
  <si>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</si>
  <si>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</si>
  <si>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ธนาคาร กรุงเทพ จำกัด (มหาชน)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</si>
  <si>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</si>
  <si>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อยุธยาเจเอฟ จำกัด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</si>
  <si>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</si>
  <si>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</si>
  <si>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</si>
  <si>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บริษัทหลักทรัพย์จัดการกองทุนรวม บีโอเอ จำกัด</t>
  </si>
  <si>
    <t xml:space="preserve"> บริษัทหลักทรัพย์จัดการกองทุน ธนชาติ จำกัด</t>
  </si>
  <si>
    <t xml:space="preserve"> บริษัทหลักทรัพย์จัดการกองทุน ไอเอ็นจี (ประเทศไทย) จำกัด</t>
  </si>
  <si>
    <t xml:space="preserve"> ธนาคาร ไทยพาณิชย์ จำกัด (มหาชน)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</si>
  <si>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</si>
  <si>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ซีมิโก้ ไนท์ ฟันด์ แมเนจเม้นท์ จำกัด</t>
  </si>
  <si>
    <t xml:space="preserve"> บริษัทหลักทรัพย์ กรุงศรีอยุธยา จำกัด   </t>
  </si>
  <si>
    <t xml:space="preserve"> ธนาคาร ทหารไทย จำกัด (มหาชน)</t>
  </si>
  <si>
    <t xml:space="preserve"> บริษัทหลักทรัพย์จัดการกองทุน ฮันท์เตอร์ส จำกัด  </t>
  </si>
  <si>
    <t xml:space="preserve"> บริษัทหลักทรัพย์ ไทยพาณิชย์ จำกัด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</si>
  <si>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</si>
  <si>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ไทยพาณิชย์ จำกัด</t>
  </si>
  <si>
    <t xml:space="preserve"> ธนาคารไทยธนาคาร จำกัด (มหาชน)</t>
  </si>
  <si>
    <t xml:space="preserve"> บริษัทหลักทรัพย์ แอสเซทพลัส จำกัด (มหาชน)</t>
  </si>
  <si>
    <t xml:space="preserve"> บริษัทหลักทรัพย์จัดการกองทุน กรุงเทพธนาทร จำกัด</t>
  </si>
  <si>
    <t>รวม</t>
  </si>
  <si>
    <t>ที่มา:  บริษัทผู้จัดการกองทุนส่วนบุคคล</t>
  </si>
  <si>
    <t>วันที่เผยแพร่  : 28 มกราคม 2548</t>
  </si>
  <si>
    <t>จัดทำโดย:  สมาคมบริษัทจัดการลงทุน</t>
  </si>
  <si>
    <r>
      <t>หมายเหตุ</t>
    </r>
    <r>
      <rPr>
        <sz val="14"/>
        <rFont val="AngsanaUPC"/>
        <family val="1"/>
      </rPr>
      <t xml:space="preserve">  **  บริษัทยังมิได้มีการจัดการกองทุนส่วนบุคคล</t>
    </r>
  </si>
  <si>
    <t>ณ  31 มกราคม 2548</t>
  </si>
  <si>
    <t>มกราคม 2548</t>
  </si>
  <si>
    <t xml:space="preserve"> บริษัทหลักทรัพย์ กรุงศรีอยุธยา จำกัด  (มหาชน)</t>
  </si>
  <si>
    <t>บริษัทหลักทรัพท์จัดการกองทุน นครหลวงไทย</t>
  </si>
  <si>
    <t>วันที่เผยแพร่  : 28 มีนาคม 2548</t>
  </si>
  <si>
    <t>ณ  28 กุมภาพันธ์ 2548</t>
  </si>
  <si>
    <t>กุมภาพันธ์ 2548</t>
  </si>
  <si>
    <t xml:space="preserve"> บริษัทหลักทรัพย์จัดการกองทุนรวม พรีมาเวสท์ จำกัด</t>
  </si>
  <si>
    <t>บริษัทหลักทรัพท์ ฟิลลิป (ประเทศไทย) จำกัด (มหาชน)</t>
  </si>
  <si>
    <t>ณ  31 มีนาคม 2548</t>
  </si>
  <si>
    <t>มีนาคม 2548</t>
  </si>
  <si>
    <t>+</t>
  </si>
  <si>
    <t>=</t>
  </si>
  <si>
    <t>วันที่เผยแพร่  : 28 เมษายน 2548</t>
  </si>
  <si>
    <t>ณ  30 เมษายน 2548</t>
  </si>
  <si>
    <t>เมษายน 2548</t>
  </si>
  <si>
    <t>data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</si>
  <si>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</si>
  <si>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</si>
  <si>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บริษัทหลักทรัพย์จัดการกองทุนรวม พรีมาเวสท์ จำกัด**</t>
  </si>
  <si>
    <t>บริษัทหลักทรัพท์ ฟิลลิป (ประเทศไทย) จำกัด (มหาชน)**</t>
  </si>
  <si>
    <t>บริษัทหลักทรัพท์จัดการกองทุน นครหลวงไทย**</t>
  </si>
  <si>
    <t>วันที่เผยแพร่  : 30 พฤษภาคม 2548</t>
  </si>
  <si>
    <t>ณ  31 พฤษภาคม 2548</t>
  </si>
  <si>
    <t>พฤษภาคม 2548</t>
  </si>
  <si>
    <t>วันที่เผยแพร่  : 29 มิถุนายน  2548</t>
  </si>
  <si>
    <t>ณ  30 มิถุนายน 2548</t>
  </si>
  <si>
    <t>มิถุนายน 2548</t>
  </si>
  <si>
    <t>วันที่เผยแพร่  : 29 กรกฎาคม  2548</t>
  </si>
  <si>
    <t>ณ  31 กรกฎาคม 2548</t>
  </si>
  <si>
    <t>กรกฎาคม 2548</t>
  </si>
  <si>
    <t>วันที่เผยแพร่  : 30  สิงหาคม  2548</t>
  </si>
  <si>
    <t>ณ  31 สิงหาคม 2548</t>
  </si>
  <si>
    <t>สิงหาคม 2548</t>
  </si>
  <si>
    <t>บริษัทหลักทรัพย์จัดการกองทุน บีที จำกัด</t>
  </si>
  <si>
    <t>วันที่เผยแพร่  : 28 กันยายน  2548</t>
  </si>
  <si>
    <t>ณ  30  กันยายน 2548</t>
  </si>
  <si>
    <t>กันยายน 2548</t>
  </si>
  <si>
    <t>วันที่เผยแพร่  : 31 ตุลาคม  2548   (บริษัทหลักทรัพท์จัดการกองทุน นครหลวงไทย ขอรายงานกองทุน ณ ตุลาคม 48)</t>
  </si>
  <si>
    <t>ณ  31  ตุลาคม 2548</t>
  </si>
  <si>
    <t>ตุลาคม 2548</t>
  </si>
  <si>
    <t>วันที่เผยแพร่  : 23 พฤศจิกายน  2548</t>
  </si>
  <si>
    <t>ณ  30  พฤศจิกายน  2548</t>
  </si>
  <si>
    <t>พฤศจิกายน 2548</t>
  </si>
  <si>
    <t>บริษัทหลักทรัพย์จัดการกองทุน เอสซีบี ควอนท์ จำกัด</t>
  </si>
  <si>
    <t>วันที่เผยแพร่  : 26 ธันวาคม  2548</t>
  </si>
  <si>
    <t>ณ  31  ธันวาคม  2548</t>
  </si>
  <si>
    <t>ธันวาคม 2548</t>
  </si>
  <si>
    <t xml:space="preserve"> ธนาคารไทยธนาคาร จำกัด (มหาชน)   (ลาออกจากการเป็นสมาชิกกองทุน)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</si>
</sst>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_-;\-* #,##0_-;_-* &quot;-&quot;??_-;_-@_-"/>
    <numFmt numFmtId="187" formatCode="#,##0.00;[Red]\(#,##0.00\)"/>
    <numFmt numFmtId="188" formatCode="\t&quot;฿&quot;#,##0_);\(\t&quot;฿&quot;#,##0\)"/>
    <numFmt numFmtId="189" formatCode="\t&quot;฿&quot;#,##0_);[Red]\(\t&quot;฿&quot;#,##0\)"/>
    <numFmt numFmtId="190" formatCode="\t&quot;฿&quot;#,##0.00_);\(\t&quot;฿&quot;#,##0.00\)"/>
    <numFmt numFmtId="191" formatCode="\t&quot;฿&quot;#,##0.00_);[Red]\(\t&quot;฿&quot;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_-* #,##0.0_-;\-* #,##0.0_-;_-* &quot;-&quot;??_-;_-@_-"/>
    <numFmt numFmtId="205" formatCode="_-* #,##0.0_-;\-* #,##0.0_-;_-* &quot;-&quot;?_-;_-@_-"/>
    <numFmt numFmtId="206" formatCode="0.00_ ;[Red]\-0.00\ "/>
    <numFmt numFmtId="207" formatCode="0.00;[Red]0.00"/>
    <numFmt numFmtId="208" formatCode="0.0000"/>
    <numFmt numFmtId="209" formatCode="0.000"/>
    <numFmt numFmtId="210" formatCode="0.00000"/>
    <numFmt numFmtId="211" formatCode="#,##0.00;[Red]\-\(#,##0.00\)"/>
    <numFmt numFmtId="212" formatCode="0.0000000"/>
    <numFmt numFmtId="213" formatCode="0.000000"/>
    <numFmt numFmtId="214" formatCode="0.0"/>
    <numFmt numFmtId="215" formatCode="00000"/>
    <numFmt numFmtId="216" formatCode="ดดดด\ yy"/>
    <numFmt numFmtId="217" formatCode="#,##0.00;[Green]\(#,##0.00\)"/>
    <numFmt numFmtId="218" formatCode="#,##0.00;[Blue]\(#,##0.00\)"/>
    <numFmt numFmtId="219" formatCode="mmm\ yy"/>
    <numFmt numFmtId="220" formatCode="#,##0_ ;\-#,##0\ 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_-* #,##0.0_-;\-* #,##0.0_-;_-* &quot;-&quot;_-;_-@_-"/>
    <numFmt numFmtId="226" formatCode="_-* #,##0.00_-;\-* #,##0.00_-;_-* &quot;-&quot;_-;_-@_-"/>
    <numFmt numFmtId="227" formatCode="_-* #,##0.000_-;\-* #,##0.000_-;_-* &quot;-&quot;??_-;_-@_-"/>
    <numFmt numFmtId="228" formatCode="_-* #,##0.0000_-;\-* #,##0.0000_-;_-* &quot;-&quot;??_-;_-@_-"/>
    <numFmt numFmtId="229" formatCode="ดดด\ yy"/>
  </numFmts>
  <fonts count="10">
    <font>
      <sz val="14"/>
      <name val="Cordia New"/>
      <family val="0"/>
    </font>
    <font>
      <b/>
      <sz val="16"/>
      <name val="AngsanaUPC"/>
      <family val="1"/>
    </font>
    <font>
      <b/>
      <sz val="15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186" fontId="4" fillId="0" borderId="13" xfId="15" applyNumberFormat="1" applyFont="1" applyFill="1" applyBorder="1" applyAlignment="1">
      <alignment/>
    </xf>
    <xf numFmtId="43" fontId="4" fillId="0" borderId="14" xfId="15" applyFont="1" applyFill="1" applyBorder="1" applyAlignment="1">
      <alignment/>
    </xf>
    <xf numFmtId="43" fontId="4" fillId="0" borderId="15" xfId="15" applyFont="1" applyFill="1" applyBorder="1" applyAlignment="1">
      <alignment/>
    </xf>
    <xf numFmtId="186" fontId="4" fillId="0" borderId="13" xfId="15" applyNumberFormat="1" applyFont="1" applyFill="1" applyBorder="1" applyAlignment="1">
      <alignment horizontal="center"/>
    </xf>
    <xf numFmtId="43" fontId="4" fillId="0" borderId="14" xfId="15" applyNumberFormat="1" applyFont="1" applyFill="1" applyBorder="1" applyAlignment="1">
      <alignment/>
    </xf>
    <xf numFmtId="43" fontId="4" fillId="0" borderId="16" xfId="15" applyFont="1" applyFill="1" applyBorder="1" applyAlignment="1">
      <alignment/>
    </xf>
    <xf numFmtId="187" fontId="4" fillId="0" borderId="13" xfId="15" applyNumberFormat="1" applyFont="1" applyBorder="1" applyAlignment="1">
      <alignment/>
    </xf>
    <xf numFmtId="187" fontId="4" fillId="0" borderId="6" xfId="15" applyNumberFormat="1" applyFont="1" applyBorder="1" applyAlignment="1">
      <alignment/>
    </xf>
    <xf numFmtId="186" fontId="4" fillId="0" borderId="13" xfId="15" applyNumberFormat="1" applyFont="1" applyBorder="1" applyAlignment="1">
      <alignment/>
    </xf>
    <xf numFmtId="43" fontId="4" fillId="0" borderId="14" xfId="15" applyFont="1" applyBorder="1" applyAlignment="1">
      <alignment/>
    </xf>
    <xf numFmtId="187" fontId="4" fillId="0" borderId="15" xfId="15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86" fontId="4" fillId="0" borderId="18" xfId="15" applyNumberFormat="1" applyFont="1" applyBorder="1" applyAlignment="1">
      <alignment/>
    </xf>
    <xf numFmtId="43" fontId="4" fillId="0" borderId="19" xfId="15" applyFont="1" applyBorder="1" applyAlignment="1">
      <alignment/>
    </xf>
    <xf numFmtId="43" fontId="4" fillId="0" borderId="20" xfId="15" applyFont="1" applyBorder="1" applyAlignment="1">
      <alignment/>
    </xf>
    <xf numFmtId="0" fontId="3" fillId="0" borderId="21" xfId="0" applyFont="1" applyBorder="1" applyAlignment="1">
      <alignment horizontal="center"/>
    </xf>
    <xf numFmtId="43" fontId="4" fillId="0" borderId="20" xfId="15" applyFont="1" applyFill="1" applyBorder="1" applyAlignment="1">
      <alignment/>
    </xf>
    <xf numFmtId="0" fontId="3" fillId="0" borderId="17" xfId="0" applyFont="1" applyBorder="1" applyAlignment="1">
      <alignment horizontal="center"/>
    </xf>
    <xf numFmtId="43" fontId="4" fillId="0" borderId="22" xfId="15" applyFont="1" applyBorder="1" applyAlignment="1">
      <alignment/>
    </xf>
    <xf numFmtId="186" fontId="4" fillId="0" borderId="18" xfId="15" applyNumberFormat="1" applyFont="1" applyFill="1" applyBorder="1" applyAlignment="1">
      <alignment/>
    </xf>
    <xf numFmtId="43" fontId="4" fillId="0" borderId="22" xfId="15" applyFont="1" applyFill="1" applyBorder="1" applyAlignment="1">
      <alignment/>
    </xf>
    <xf numFmtId="43" fontId="4" fillId="0" borderId="23" xfId="15" applyFont="1" applyFill="1" applyBorder="1" applyAlignment="1">
      <alignment/>
    </xf>
    <xf numFmtId="186" fontId="1" fillId="0" borderId="24" xfId="15" applyNumberFormat="1" applyFont="1" applyBorder="1" applyAlignment="1">
      <alignment/>
    </xf>
    <xf numFmtId="43" fontId="1" fillId="0" borderId="25" xfId="15" applyFont="1" applyBorder="1" applyAlignment="1">
      <alignment/>
    </xf>
    <xf numFmtId="43" fontId="1" fillId="0" borderId="26" xfId="15" applyFont="1" applyBorder="1" applyAlignment="1">
      <alignment/>
    </xf>
    <xf numFmtId="43" fontId="1" fillId="0" borderId="27" xfId="15" applyFont="1" applyBorder="1" applyAlignment="1">
      <alignment/>
    </xf>
    <xf numFmtId="43" fontId="1" fillId="0" borderId="28" xfId="15" applyFont="1" applyBorder="1" applyAlignment="1">
      <alignment/>
    </xf>
    <xf numFmtId="187" fontId="1" fillId="0" borderId="24" xfId="15" applyNumberFormat="1" applyFont="1" applyBorder="1" applyAlignment="1">
      <alignment/>
    </xf>
    <xf numFmtId="2" fontId="1" fillId="0" borderId="28" xfId="15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6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0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86" fontId="3" fillId="0" borderId="0" xfId="0" applyNumberFormat="1" applyFont="1" applyAlignment="1">
      <alignment/>
    </xf>
    <xf numFmtId="186" fontId="4" fillId="0" borderId="13" xfId="15" applyNumberFormat="1" applyFont="1" applyFill="1" applyBorder="1" applyAlignment="1">
      <alignment/>
    </xf>
    <xf numFmtId="187" fontId="4" fillId="0" borderId="29" xfId="15" applyNumberFormat="1" applyFont="1" applyBorder="1" applyAlignment="1">
      <alignment/>
    </xf>
    <xf numFmtId="187" fontId="1" fillId="0" borderId="28" xfId="15" applyNumberFormat="1" applyFont="1" applyBorder="1" applyAlignment="1">
      <alignment/>
    </xf>
    <xf numFmtId="43" fontId="4" fillId="0" borderId="19" xfId="15" applyFont="1" applyFill="1" applyBorder="1" applyAlignment="1">
      <alignment/>
    </xf>
    <xf numFmtId="0" fontId="3" fillId="0" borderId="0" xfId="0" applyFont="1" applyAlignment="1">
      <alignment horizontal="right"/>
    </xf>
    <xf numFmtId="186" fontId="3" fillId="0" borderId="0" xfId="15" applyNumberFormat="1" applyFont="1" applyAlignment="1">
      <alignment/>
    </xf>
    <xf numFmtId="43" fontId="3" fillId="2" borderId="0" xfId="15" applyNumberFormat="1" applyFont="1" applyFill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" fontId="1" fillId="0" borderId="30" xfId="0" applyNumberFormat="1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25">
      <selection activeCell="B25" sqref="B25"/>
    </sheetView>
  </sheetViews>
  <sheetFormatPr defaultColWidth="9.140625" defaultRowHeight="21.75"/>
  <cols>
    <col min="1" max="1" width="6.57421875" style="1" customWidth="1"/>
    <col min="2" max="2" width="53.421875" style="58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0" ht="22.5" customHeight="1" thickBot="1">
      <c r="A4" s="5"/>
      <c r="B4" s="6"/>
      <c r="C4" s="76" t="s">
        <v>2</v>
      </c>
      <c r="D4" s="77"/>
      <c r="E4" s="78"/>
      <c r="F4" s="76" t="s">
        <v>3</v>
      </c>
      <c r="G4" s="77"/>
      <c r="H4" s="78"/>
      <c r="I4" s="79" t="s">
        <v>4</v>
      </c>
      <c r="J4" s="78"/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0" ht="23.25">
      <c r="A7" s="19">
        <v>1</v>
      </c>
      <c r="B7" s="20" t="s">
        <v>13</v>
      </c>
      <c r="C7" s="21">
        <v>245</v>
      </c>
      <c r="D7" s="22">
        <v>38174.68426536</v>
      </c>
      <c r="E7" s="23">
        <v>28.469321070225956</v>
      </c>
      <c r="F7" s="24">
        <v>248</v>
      </c>
      <c r="G7" s="25">
        <v>37754.49494397</v>
      </c>
      <c r="H7" s="26">
        <v>28.390637967531447</v>
      </c>
      <c r="I7" s="27">
        <f aca="true" t="shared" si="0" ref="I7:I29">(D7-G7)</f>
        <v>420.1893213900039</v>
      </c>
      <c r="J7" s="28">
        <f aca="true" t="shared" si="1" ref="J7:J26">(D7-G7)/G7*100</f>
        <v>1.1129517743876347</v>
      </c>
    </row>
    <row r="8" spans="1:10" ht="23.25">
      <c r="A8" s="19">
        <v>2</v>
      </c>
      <c r="B8" s="20" t="s">
        <v>14</v>
      </c>
      <c r="C8" s="29">
        <v>80</v>
      </c>
      <c r="D8" s="30">
        <v>18458.15987104</v>
      </c>
      <c r="E8" s="23">
        <v>13.765438793976696</v>
      </c>
      <c r="F8" s="24">
        <v>80</v>
      </c>
      <c r="G8" s="25">
        <v>18328.27576564</v>
      </c>
      <c r="H8" s="23">
        <v>13.782503053043063</v>
      </c>
      <c r="I8" s="27">
        <f t="shared" si="0"/>
        <v>129.8841054000004</v>
      </c>
      <c r="J8" s="31">
        <f t="shared" si="1"/>
        <v>0.7086542512825675</v>
      </c>
    </row>
    <row r="9" spans="1:10" ht="23.25">
      <c r="A9" s="19">
        <v>3</v>
      </c>
      <c r="B9" s="20" t="s">
        <v>15</v>
      </c>
      <c r="C9" s="21">
        <v>45</v>
      </c>
      <c r="D9" s="22">
        <v>16900.2888718</v>
      </c>
      <c r="E9" s="23">
        <v>12.60363403993968</v>
      </c>
      <c r="F9" s="24">
        <v>46</v>
      </c>
      <c r="G9" s="25">
        <v>16791.18754748</v>
      </c>
      <c r="H9" s="23">
        <v>12.62664293120323</v>
      </c>
      <c r="I9" s="27">
        <f t="shared" si="0"/>
        <v>109.10132431999955</v>
      </c>
      <c r="J9" s="31">
        <f t="shared" si="1"/>
        <v>0.6497534734306112</v>
      </c>
    </row>
    <row r="10" spans="1:10" ht="23.25">
      <c r="A10" s="19">
        <v>4</v>
      </c>
      <c r="B10" s="20" t="s">
        <v>16</v>
      </c>
      <c r="C10" s="21">
        <v>53</v>
      </c>
      <c r="D10" s="22">
        <v>14601.82826777</v>
      </c>
      <c r="E10" s="23">
        <v>10.889523912700923</v>
      </c>
      <c r="F10" s="24">
        <v>53</v>
      </c>
      <c r="G10" s="25">
        <v>14528.35217205</v>
      </c>
      <c r="H10" s="23">
        <v>10.925035214842639</v>
      </c>
      <c r="I10" s="27">
        <f t="shared" si="0"/>
        <v>73.47609572000147</v>
      </c>
      <c r="J10" s="31">
        <f t="shared" si="1"/>
        <v>0.5057428044823733</v>
      </c>
    </row>
    <row r="11" spans="1:10" ht="23.25">
      <c r="A11" s="19">
        <v>5</v>
      </c>
      <c r="B11" s="20" t="s">
        <v>17</v>
      </c>
      <c r="C11" s="29">
        <v>140</v>
      </c>
      <c r="D11" s="30">
        <v>9902.96</v>
      </c>
      <c r="E11" s="23">
        <v>7.3852751689011535</v>
      </c>
      <c r="F11" s="24">
        <v>139</v>
      </c>
      <c r="G11" s="25">
        <v>9725.72</v>
      </c>
      <c r="H11" s="23">
        <v>7.313550238279127</v>
      </c>
      <c r="I11" s="27">
        <f t="shared" si="0"/>
        <v>177.23999999999978</v>
      </c>
      <c r="J11" s="31">
        <f t="shared" si="1"/>
        <v>1.8223843581760508</v>
      </c>
    </row>
    <row r="12" spans="1:10" ht="23.25">
      <c r="A12" s="19">
        <v>6</v>
      </c>
      <c r="B12" s="20" t="s">
        <v>18</v>
      </c>
      <c r="C12" s="29">
        <v>79</v>
      </c>
      <c r="D12" s="30">
        <v>6396.73118896</v>
      </c>
      <c r="E12" s="23">
        <v>4.770454491582501</v>
      </c>
      <c r="F12" s="24">
        <v>80</v>
      </c>
      <c r="G12" s="25">
        <v>6478.75136794</v>
      </c>
      <c r="H12" s="23">
        <v>4.871893660392116</v>
      </c>
      <c r="I12" s="27">
        <f t="shared" si="0"/>
        <v>-82.02017898000031</v>
      </c>
      <c r="J12" s="31">
        <f t="shared" si="1"/>
        <v>-1.265987446066782</v>
      </c>
    </row>
    <row r="13" spans="1:10" ht="23.25">
      <c r="A13" s="19">
        <v>7</v>
      </c>
      <c r="B13" s="32" t="s">
        <v>19</v>
      </c>
      <c r="C13" s="33">
        <v>9</v>
      </c>
      <c r="D13" s="34">
        <v>5803.3109</v>
      </c>
      <c r="E13" s="23">
        <v>4.327902757072978</v>
      </c>
      <c r="F13" s="24">
        <v>9</v>
      </c>
      <c r="G13" s="25">
        <v>5786.71659</v>
      </c>
      <c r="H13" s="23">
        <v>4.351497112362712</v>
      </c>
      <c r="I13" s="27">
        <f t="shared" si="0"/>
        <v>16.594310000000405</v>
      </c>
      <c r="J13" s="31">
        <f t="shared" si="1"/>
        <v>0.28676555594025394</v>
      </c>
    </row>
    <row r="14" spans="1:10" ht="23.25">
      <c r="A14" s="19">
        <v>8</v>
      </c>
      <c r="B14" s="32" t="s">
        <v>20</v>
      </c>
      <c r="C14" s="33">
        <v>441</v>
      </c>
      <c r="D14" s="34">
        <v>5516.64</v>
      </c>
      <c r="E14" s="23">
        <v>4.114113801102586</v>
      </c>
      <c r="F14" s="24">
        <v>442</v>
      </c>
      <c r="G14" s="25">
        <v>5487.27</v>
      </c>
      <c r="H14" s="23">
        <v>4.126319163619959</v>
      </c>
      <c r="I14" s="27">
        <f t="shared" si="0"/>
        <v>29.36999999999989</v>
      </c>
      <c r="J14" s="31">
        <f t="shared" si="1"/>
        <v>0.5352388346117448</v>
      </c>
    </row>
    <row r="15" spans="1:10" ht="23.25">
      <c r="A15" s="19">
        <v>9</v>
      </c>
      <c r="B15" s="20" t="s">
        <v>21</v>
      </c>
      <c r="C15" s="21">
        <v>74</v>
      </c>
      <c r="D15" s="22">
        <v>5396.37495692</v>
      </c>
      <c r="E15" s="23">
        <v>4.024424411632614</v>
      </c>
      <c r="F15" s="24">
        <v>75</v>
      </c>
      <c r="G15" s="25">
        <v>5480.17163667</v>
      </c>
      <c r="H15" s="23">
        <v>4.1209813339452905</v>
      </c>
      <c r="I15" s="27">
        <f t="shared" si="0"/>
        <v>-83.7966797500003</v>
      </c>
      <c r="J15" s="31">
        <f t="shared" si="1"/>
        <v>-1.5290885998767538</v>
      </c>
    </row>
    <row r="16" spans="1:10" ht="23.25">
      <c r="A16" s="19">
        <v>10</v>
      </c>
      <c r="B16" s="20" t="s">
        <v>22</v>
      </c>
      <c r="C16" s="29">
        <v>61</v>
      </c>
      <c r="D16" s="30">
        <v>2955.49</v>
      </c>
      <c r="E16" s="23">
        <v>2.2040992702117017</v>
      </c>
      <c r="F16" s="24">
        <v>61</v>
      </c>
      <c r="G16" s="25">
        <v>2934.73</v>
      </c>
      <c r="H16" s="23">
        <v>2.20685926499888</v>
      </c>
      <c r="I16" s="27">
        <f t="shared" si="0"/>
        <v>20.759999999999764</v>
      </c>
      <c r="J16" s="31">
        <f t="shared" si="1"/>
        <v>0.7073904584067278</v>
      </c>
    </row>
    <row r="17" spans="1:10" ht="23.25">
      <c r="A17" s="19">
        <v>11</v>
      </c>
      <c r="B17" s="20" t="s">
        <v>23</v>
      </c>
      <c r="C17" s="33">
        <v>18</v>
      </c>
      <c r="D17" s="34">
        <v>2711.28362741</v>
      </c>
      <c r="E17" s="23">
        <v>2.0219788476737586</v>
      </c>
      <c r="F17" s="24">
        <v>13</v>
      </c>
      <c r="G17" s="25">
        <v>2181.98048681</v>
      </c>
      <c r="H17" s="23">
        <v>1.6408064296761251</v>
      </c>
      <c r="I17" s="27">
        <f t="shared" si="0"/>
        <v>529.3031406</v>
      </c>
      <c r="J17" s="31">
        <f t="shared" si="1"/>
        <v>24.257922735772386</v>
      </c>
    </row>
    <row r="18" spans="1:10" ht="23.25">
      <c r="A18" s="19">
        <v>12</v>
      </c>
      <c r="B18" s="20" t="s">
        <v>24</v>
      </c>
      <c r="C18" s="29">
        <v>30</v>
      </c>
      <c r="D18" s="35">
        <v>1599.20945459</v>
      </c>
      <c r="E18" s="23">
        <v>1.1926335029986475</v>
      </c>
      <c r="F18" s="24">
        <v>30</v>
      </c>
      <c r="G18" s="25">
        <v>1594.7803730599999</v>
      </c>
      <c r="H18" s="23">
        <v>1.1992434881320702</v>
      </c>
      <c r="I18" s="27">
        <f t="shared" si="0"/>
        <v>4.429081530000076</v>
      </c>
      <c r="J18" s="31">
        <f t="shared" si="1"/>
        <v>0.2777236041287449</v>
      </c>
    </row>
    <row r="19" spans="1:10" ht="23.25">
      <c r="A19" s="19">
        <v>13</v>
      </c>
      <c r="B19" s="20" t="s">
        <v>25</v>
      </c>
      <c r="C19" s="29">
        <v>4</v>
      </c>
      <c r="D19" s="35">
        <v>1368.13823611</v>
      </c>
      <c r="E19" s="23">
        <v>1.020308810978476</v>
      </c>
      <c r="F19" s="24">
        <v>2</v>
      </c>
      <c r="G19" s="25">
        <v>1325.55353156</v>
      </c>
      <c r="H19" s="23">
        <v>0.9967901961595005</v>
      </c>
      <c r="I19" s="27">
        <f t="shared" si="0"/>
        <v>42.58470454999997</v>
      </c>
      <c r="J19" s="31">
        <f t="shared" si="1"/>
        <v>3.212597872217461</v>
      </c>
    </row>
    <row r="20" spans="1:10" ht="23.25">
      <c r="A20" s="19">
        <v>14</v>
      </c>
      <c r="B20" s="20" t="s">
        <v>26</v>
      </c>
      <c r="C20" s="29">
        <v>36</v>
      </c>
      <c r="D20" s="35">
        <v>1028.01342078</v>
      </c>
      <c r="E20" s="23">
        <v>0.7666558271247857</v>
      </c>
      <c r="F20" s="24">
        <v>36</v>
      </c>
      <c r="G20" s="25">
        <v>1052.14128526</v>
      </c>
      <c r="H20" s="23">
        <v>0.791189562059835</v>
      </c>
      <c r="I20" s="27">
        <f t="shared" si="0"/>
        <v>-24.12786447999997</v>
      </c>
      <c r="J20" s="31">
        <f t="shared" si="1"/>
        <v>-2.2932152571161213</v>
      </c>
    </row>
    <row r="21" spans="1:10" ht="23.25">
      <c r="A21" s="36">
        <v>15</v>
      </c>
      <c r="B21" s="20" t="s">
        <v>27</v>
      </c>
      <c r="C21" s="29">
        <v>2</v>
      </c>
      <c r="D21" s="35">
        <v>976.12350457</v>
      </c>
      <c r="E21" s="23">
        <v>0.7279581741299161</v>
      </c>
      <c r="F21" s="24">
        <v>2</v>
      </c>
      <c r="G21" s="25">
        <v>960.23731692</v>
      </c>
      <c r="H21" s="23">
        <v>0.7220795846440958</v>
      </c>
      <c r="I21" s="27">
        <f t="shared" si="0"/>
        <v>15.88618765000001</v>
      </c>
      <c r="J21" s="31">
        <f t="shared" si="1"/>
        <v>1.6544022368299118</v>
      </c>
    </row>
    <row r="22" spans="1:10" ht="23.25">
      <c r="A22" s="19">
        <v>16</v>
      </c>
      <c r="B22" s="20" t="s">
        <v>28</v>
      </c>
      <c r="C22" s="29">
        <v>169</v>
      </c>
      <c r="D22" s="35">
        <v>930.60896223</v>
      </c>
      <c r="E22" s="23">
        <v>0.6940150480981536</v>
      </c>
      <c r="F22" s="24">
        <v>172</v>
      </c>
      <c r="G22" s="25">
        <v>929.53822214</v>
      </c>
      <c r="H22" s="23">
        <v>0.6989944688950076</v>
      </c>
      <c r="I22" s="27">
        <f t="shared" si="0"/>
        <v>1.0707400899999584</v>
      </c>
      <c r="J22" s="31">
        <f t="shared" si="1"/>
        <v>0.11519053918351856</v>
      </c>
    </row>
    <row r="23" spans="1:10" ht="23.25">
      <c r="A23" s="19">
        <v>17</v>
      </c>
      <c r="B23" s="32" t="s">
        <v>29</v>
      </c>
      <c r="C23" s="29">
        <v>18</v>
      </c>
      <c r="D23" s="35">
        <v>747.731</v>
      </c>
      <c r="E23" s="23">
        <v>0.5576311716211748</v>
      </c>
      <c r="F23" s="24">
        <v>19</v>
      </c>
      <c r="G23" s="25">
        <v>1010.748</v>
      </c>
      <c r="H23" s="23">
        <v>0.7600626253110466</v>
      </c>
      <c r="I23" s="27">
        <f t="shared" si="0"/>
        <v>-263.01700000000005</v>
      </c>
      <c r="J23" s="31">
        <f t="shared" si="1"/>
        <v>-26.022015378709636</v>
      </c>
    </row>
    <row r="24" spans="1:10" ht="23.25">
      <c r="A24" s="19">
        <v>18</v>
      </c>
      <c r="B24" s="20" t="s">
        <v>30</v>
      </c>
      <c r="C24" s="21">
        <v>16</v>
      </c>
      <c r="D24" s="37">
        <v>413.02232619</v>
      </c>
      <c r="E24" s="23">
        <v>0.3080173533784646</v>
      </c>
      <c r="F24" s="24">
        <v>15</v>
      </c>
      <c r="G24" s="25">
        <v>408.76750957</v>
      </c>
      <c r="H24" s="23">
        <v>0.3073851310768189</v>
      </c>
      <c r="I24" s="27">
        <f t="shared" si="0"/>
        <v>4.2548166199999855</v>
      </c>
      <c r="J24" s="31">
        <f t="shared" si="1"/>
        <v>1.0408891412323373</v>
      </c>
    </row>
    <row r="25" spans="1:10" ht="23.25">
      <c r="A25" s="38">
        <v>19</v>
      </c>
      <c r="B25" s="20" t="s">
        <v>31</v>
      </c>
      <c r="C25" s="33">
        <v>1</v>
      </c>
      <c r="D25" s="39">
        <v>202.55404893</v>
      </c>
      <c r="E25" s="23">
        <v>0.15105760175978886</v>
      </c>
      <c r="F25" s="24">
        <v>1</v>
      </c>
      <c r="G25" s="25">
        <v>201.47318299</v>
      </c>
      <c r="H25" s="23">
        <v>0.151503872768635</v>
      </c>
      <c r="I25" s="27">
        <f t="shared" si="0"/>
        <v>1.0808659399999954</v>
      </c>
      <c r="J25" s="31">
        <f t="shared" si="1"/>
        <v>0.536481294413085</v>
      </c>
    </row>
    <row r="26" spans="1:10" ht="23.25">
      <c r="A26" s="38">
        <v>20</v>
      </c>
      <c r="B26" s="20" t="s">
        <v>32</v>
      </c>
      <c r="C26" s="40">
        <v>1</v>
      </c>
      <c r="D26" s="41">
        <v>7.45</v>
      </c>
      <c r="E26" s="23">
        <v>0.00555594489004435</v>
      </c>
      <c r="F26" s="24">
        <v>2</v>
      </c>
      <c r="G26" s="25">
        <v>21.31</v>
      </c>
      <c r="H26" s="23">
        <v>0.01602470105840269</v>
      </c>
      <c r="I26" s="27">
        <f t="shared" si="0"/>
        <v>-13.86</v>
      </c>
      <c r="J26" s="31">
        <f t="shared" si="1"/>
        <v>-65.0398873768184</v>
      </c>
    </row>
    <row r="27" spans="1:10" ht="23.25">
      <c r="A27" s="38">
        <v>21</v>
      </c>
      <c r="B27" s="20" t="s">
        <v>33</v>
      </c>
      <c r="C27" s="40">
        <v>0</v>
      </c>
      <c r="D27" s="41">
        <v>0</v>
      </c>
      <c r="E27" s="23">
        <v>0</v>
      </c>
      <c r="F27" s="24">
        <v>0</v>
      </c>
      <c r="G27" s="25">
        <v>0</v>
      </c>
      <c r="H27" s="42">
        <v>0</v>
      </c>
      <c r="I27" s="27">
        <f t="shared" si="0"/>
        <v>0</v>
      </c>
      <c r="J27" s="31">
        <v>0</v>
      </c>
    </row>
    <row r="28" spans="1:10" ht="23.25">
      <c r="A28" s="38">
        <v>22</v>
      </c>
      <c r="B28" s="20" t="s">
        <v>34</v>
      </c>
      <c r="C28" s="40">
        <v>0</v>
      </c>
      <c r="D28" s="41">
        <v>0</v>
      </c>
      <c r="E28" s="23">
        <v>0</v>
      </c>
      <c r="F28" s="24">
        <v>0</v>
      </c>
      <c r="G28" s="25">
        <v>0</v>
      </c>
      <c r="H28" s="42">
        <v>0</v>
      </c>
      <c r="I28" s="27">
        <f t="shared" si="0"/>
        <v>0</v>
      </c>
      <c r="J28" s="31">
        <v>0</v>
      </c>
    </row>
    <row r="29" spans="1:10" ht="24" thickBot="1">
      <c r="A29" s="38">
        <v>23</v>
      </c>
      <c r="B29" s="20" t="s">
        <v>35</v>
      </c>
      <c r="C29" s="40">
        <v>0</v>
      </c>
      <c r="D29" s="41">
        <v>0</v>
      </c>
      <c r="E29" s="23">
        <v>0</v>
      </c>
      <c r="F29" s="24">
        <v>0</v>
      </c>
      <c r="G29" s="25">
        <v>0</v>
      </c>
      <c r="H29" s="42">
        <v>0</v>
      </c>
      <c r="I29" s="27">
        <f t="shared" si="0"/>
        <v>0</v>
      </c>
      <c r="J29" s="31">
        <v>0</v>
      </c>
    </row>
    <row r="30" spans="1:11" ht="24" thickBot="1">
      <c r="A30" s="72" t="s">
        <v>36</v>
      </c>
      <c r="B30" s="73"/>
      <c r="C30" s="43">
        <f aca="true" t="shared" si="2" ref="C30:I30">SUM(C7:C29)</f>
        <v>1522</v>
      </c>
      <c r="D30" s="44">
        <f t="shared" si="2"/>
        <v>134090.60290266</v>
      </c>
      <c r="E30" s="45">
        <f t="shared" si="2"/>
        <v>99.99999999999999</v>
      </c>
      <c r="F30" s="43">
        <f t="shared" si="2"/>
        <v>1525</v>
      </c>
      <c r="G30" s="46">
        <f t="shared" si="2"/>
        <v>132982.19993206</v>
      </c>
      <c r="H30" s="47">
        <f t="shared" si="2"/>
        <v>99.99999999999997</v>
      </c>
      <c r="I30" s="48">
        <f t="shared" si="2"/>
        <v>1108.4029706000047</v>
      </c>
      <c r="J30" s="49">
        <f>(D30-G30)/G30*100</f>
        <v>0.8334972433651106</v>
      </c>
      <c r="K30" s="50"/>
    </row>
    <row r="31" spans="1:11" ht="5.25" customHeight="1">
      <c r="A31" s="51"/>
      <c r="B31" s="52"/>
      <c r="C31" s="53"/>
      <c r="D31" s="54"/>
      <c r="E31" s="55"/>
      <c r="F31" s="53"/>
      <c r="G31" s="54"/>
      <c r="H31" s="55"/>
      <c r="I31" s="56"/>
      <c r="J31" s="57"/>
      <c r="K31" s="50"/>
    </row>
    <row r="32" spans="2:10" ht="21">
      <c r="B32" s="58" t="s">
        <v>38</v>
      </c>
      <c r="H32" s="59" t="s">
        <v>37</v>
      </c>
      <c r="J32" s="60"/>
    </row>
    <row r="33" spans="2:10" ht="21">
      <c r="B33" s="61" t="s">
        <v>40</v>
      </c>
      <c r="H33" s="59" t="s">
        <v>39</v>
      </c>
      <c r="J33" s="60"/>
    </row>
    <row r="34" spans="2:10" ht="21">
      <c r="B34" s="1"/>
      <c r="H34" s="59"/>
      <c r="J34" s="60"/>
    </row>
    <row r="35" spans="8:10" ht="21">
      <c r="H35" s="59"/>
      <c r="J35" s="60"/>
    </row>
    <row r="37" spans="2:6" ht="21">
      <c r="B37" s="1"/>
      <c r="F37" s="62"/>
    </row>
    <row r="38" ht="21" hidden="1"/>
  </sheetData>
  <mergeCells count="6">
    <mergeCell ref="A30:B30"/>
    <mergeCell ref="A1:J1"/>
    <mergeCell ref="A2:J2"/>
    <mergeCell ref="C4:E4"/>
    <mergeCell ref="F4:H4"/>
    <mergeCell ref="I4:J4"/>
  </mergeCells>
  <printOptions/>
  <pageMargins left="0.984251968503937" right="0.984251968503937" top="0.11811023622047245" bottom="0.11811023622047245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6.2812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77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78</v>
      </c>
      <c r="D4" s="77"/>
      <c r="E4" s="78"/>
      <c r="F4" s="76" t="s">
        <v>74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223</v>
      </c>
      <c r="D7" s="30">
        <v>42322.57642173</v>
      </c>
      <c r="E7" s="23">
        <v>30.617850254045067</v>
      </c>
      <c r="F7" s="24">
        <v>226</v>
      </c>
      <c r="G7" s="25">
        <v>42477.2570233</v>
      </c>
      <c r="H7" s="26">
        <v>30.961638013783897</v>
      </c>
      <c r="I7" s="27">
        <f aca="true" t="shared" si="0" ref="I7:I32">(D7-G7)</f>
        <v>-154.68060156999854</v>
      </c>
      <c r="J7" s="28">
        <f aca="true" t="shared" si="1" ref="J7:J24">(D7-G7)/G7*100</f>
        <v>-0.3641492233953614</v>
      </c>
      <c r="O7" s="69">
        <v>42028692348.32</v>
      </c>
    </row>
    <row r="8" spans="1:15" ht="23.25">
      <c r="A8" s="19">
        <v>2</v>
      </c>
      <c r="B8" s="20" t="s">
        <v>14</v>
      </c>
      <c r="C8" s="29">
        <v>111</v>
      </c>
      <c r="D8" s="30">
        <v>21096.46326502</v>
      </c>
      <c r="E8" s="23">
        <v>15.262028159672742</v>
      </c>
      <c r="F8" s="24">
        <v>101</v>
      </c>
      <c r="G8" s="25">
        <v>19621.66763563</v>
      </c>
      <c r="H8" s="23">
        <v>14.302217542623183</v>
      </c>
      <c r="I8" s="27">
        <f t="shared" si="0"/>
        <v>1474.7956293899988</v>
      </c>
      <c r="J8" s="31">
        <f t="shared" si="1"/>
        <v>7.51615844675705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43</v>
      </c>
      <c r="D9" s="30">
        <v>17000.26635062</v>
      </c>
      <c r="E9" s="23">
        <v>12.29867492506704</v>
      </c>
      <c r="F9" s="24">
        <v>43</v>
      </c>
      <c r="G9" s="25">
        <v>17126.1972146</v>
      </c>
      <c r="H9" s="23">
        <v>12.483271187220472</v>
      </c>
      <c r="I9" s="27">
        <f t="shared" si="0"/>
        <v>-125.93086398000014</v>
      </c>
      <c r="J9" s="31">
        <f t="shared" si="1"/>
        <v>-0.7353113035078487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50</v>
      </c>
      <c r="D10" s="30">
        <v>14667.90484215</v>
      </c>
      <c r="E10" s="23">
        <v>10.61135100855879</v>
      </c>
      <c r="F10" s="24">
        <v>50</v>
      </c>
      <c r="G10" s="25">
        <v>14762.5725668</v>
      </c>
      <c r="H10" s="23">
        <v>10.760427108434998</v>
      </c>
      <c r="I10" s="27">
        <f t="shared" si="0"/>
        <v>-94.66772465000031</v>
      </c>
      <c r="J10" s="31">
        <f t="shared" si="1"/>
        <v>-0.6412684796070127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124</v>
      </c>
      <c r="D11" s="30">
        <v>8828.41</v>
      </c>
      <c r="E11" s="23">
        <v>6.386826091771866</v>
      </c>
      <c r="F11" s="24">
        <v>126</v>
      </c>
      <c r="G11" s="25">
        <v>9087.75</v>
      </c>
      <c r="H11" s="23">
        <v>6.624053566015908</v>
      </c>
      <c r="I11" s="27">
        <f t="shared" si="0"/>
        <v>-259.34000000000015</v>
      </c>
      <c r="J11" s="31">
        <f t="shared" si="1"/>
        <v>-2.8537316717559364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6192.73757</v>
      </c>
      <c r="E12" s="23">
        <v>4.480074882291591</v>
      </c>
      <c r="F12" s="24">
        <v>10</v>
      </c>
      <c r="G12" s="25">
        <v>6172.6580300000005</v>
      </c>
      <c r="H12" s="23">
        <v>4.499245405674477</v>
      </c>
      <c r="I12" s="27">
        <f t="shared" si="0"/>
        <v>20.079539999999724</v>
      </c>
      <c r="J12" s="31">
        <f t="shared" si="1"/>
        <v>0.32529811148471677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409</v>
      </c>
      <c r="D13" s="30">
        <v>5784.15</v>
      </c>
      <c r="E13" s="23">
        <v>4.184486236901349</v>
      </c>
      <c r="F13" s="24">
        <v>412</v>
      </c>
      <c r="G13" s="25">
        <v>5735.36</v>
      </c>
      <c r="H13" s="23">
        <v>4.1804992281241224</v>
      </c>
      <c r="I13" s="27">
        <f t="shared" si="0"/>
        <v>48.789999999999964</v>
      </c>
      <c r="J13" s="31">
        <f t="shared" si="1"/>
        <v>0.8506876638955526</v>
      </c>
      <c r="O13" s="69">
        <v>5324.85</v>
      </c>
    </row>
    <row r="14" spans="1:15" ht="23.25">
      <c r="A14" s="19">
        <v>8</v>
      </c>
      <c r="B14" s="32" t="s">
        <v>23</v>
      </c>
      <c r="C14" s="33">
        <v>24</v>
      </c>
      <c r="D14" s="30">
        <v>4998.63810204</v>
      </c>
      <c r="E14" s="23">
        <v>3.616215406107564</v>
      </c>
      <c r="F14" s="24">
        <v>23</v>
      </c>
      <c r="G14" s="25">
        <v>4398.6426581999995</v>
      </c>
      <c r="H14" s="23">
        <v>3.2061670474737314</v>
      </c>
      <c r="I14" s="27">
        <f t="shared" si="0"/>
        <v>599.9954438400009</v>
      </c>
      <c r="J14" s="31">
        <f t="shared" si="1"/>
        <v>13.640467991221852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60</v>
      </c>
      <c r="D15" s="30">
        <v>3636.96643112</v>
      </c>
      <c r="E15" s="23">
        <v>2.631127473370134</v>
      </c>
      <c r="F15" s="24">
        <v>64</v>
      </c>
      <c r="G15" s="25">
        <v>3633.1488186799997</v>
      </c>
      <c r="H15" s="23">
        <v>2.648199211932958</v>
      </c>
      <c r="I15" s="27">
        <f t="shared" si="0"/>
        <v>3.8176124400001754</v>
      </c>
      <c r="J15" s="31">
        <f t="shared" si="1"/>
        <v>0.10507723824501071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59</v>
      </c>
      <c r="D16" s="30">
        <v>2620.93</v>
      </c>
      <c r="E16" s="23">
        <v>1.896085943981718</v>
      </c>
      <c r="F16" s="24">
        <v>59</v>
      </c>
      <c r="G16" s="25">
        <v>2608.53</v>
      </c>
      <c r="H16" s="23">
        <v>1.9013553903396856</v>
      </c>
      <c r="I16" s="27">
        <f t="shared" si="0"/>
        <v>12.399999999999636</v>
      </c>
      <c r="J16" s="31">
        <f t="shared" si="1"/>
        <v>0.4753635189167706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41</v>
      </c>
      <c r="D17" s="30">
        <v>1880.83912271</v>
      </c>
      <c r="E17" s="23">
        <v>1.3606745023565439</v>
      </c>
      <c r="F17" s="24">
        <v>41</v>
      </c>
      <c r="G17" s="25">
        <v>1884.53257846</v>
      </c>
      <c r="H17" s="23">
        <v>1.3736342600336844</v>
      </c>
      <c r="I17" s="27">
        <f t="shared" si="0"/>
        <v>-3.6934557499998846</v>
      </c>
      <c r="J17" s="31">
        <f t="shared" si="1"/>
        <v>-0.19598789600220645</v>
      </c>
      <c r="O17" s="69">
        <v>2994.93</v>
      </c>
    </row>
    <row r="18" spans="1:15" ht="23.25">
      <c r="A18" s="19">
        <v>12</v>
      </c>
      <c r="B18" s="20" t="s">
        <v>24</v>
      </c>
      <c r="C18" s="29">
        <v>33</v>
      </c>
      <c r="D18" s="30">
        <v>1771.6013354200002</v>
      </c>
      <c r="E18" s="23">
        <v>1.281647503149303</v>
      </c>
      <c r="F18" s="24">
        <v>34</v>
      </c>
      <c r="G18" s="25">
        <v>1816.4723632999999</v>
      </c>
      <c r="H18" s="23">
        <v>1.324025224691118</v>
      </c>
      <c r="I18" s="27">
        <f t="shared" si="0"/>
        <v>-44.8710278799997</v>
      </c>
      <c r="J18" s="31">
        <f t="shared" si="1"/>
        <v>-2.4702290432033958</v>
      </c>
      <c r="O18" s="69">
        <v>1749883380.11</v>
      </c>
    </row>
    <row r="19" spans="1:15" ht="23.25">
      <c r="A19" s="19">
        <v>13</v>
      </c>
      <c r="B19" s="20" t="s">
        <v>43</v>
      </c>
      <c r="C19" s="29">
        <v>2</v>
      </c>
      <c r="D19" s="30">
        <v>1608.10581558</v>
      </c>
      <c r="E19" s="23">
        <v>1.163368282768519</v>
      </c>
      <c r="F19" s="24">
        <v>2</v>
      </c>
      <c r="G19" s="25">
        <v>1552.81018277</v>
      </c>
      <c r="H19" s="23">
        <v>1.1318420762590775</v>
      </c>
      <c r="I19" s="27">
        <f t="shared" si="0"/>
        <v>55.295632809999915</v>
      </c>
      <c r="J19" s="31">
        <f t="shared" si="1"/>
        <v>3.561004005741391</v>
      </c>
      <c r="O19" s="69">
        <v>1459912482.26</v>
      </c>
    </row>
    <row r="20" spans="1:15" ht="23.25">
      <c r="A20" s="19">
        <v>14</v>
      </c>
      <c r="B20" s="20" t="s">
        <v>30</v>
      </c>
      <c r="C20" s="21">
        <v>43</v>
      </c>
      <c r="D20" s="30">
        <v>1581.50226925</v>
      </c>
      <c r="E20" s="23">
        <v>1.1441222097118637</v>
      </c>
      <c r="F20" s="24">
        <v>41</v>
      </c>
      <c r="G20" s="25">
        <v>1529.3157591400002</v>
      </c>
      <c r="H20" s="23">
        <v>1.114717010029506</v>
      </c>
      <c r="I20" s="27">
        <f t="shared" si="0"/>
        <v>52.186510109999745</v>
      </c>
      <c r="J20" s="31">
        <f t="shared" si="1"/>
        <v>3.412409098520403</v>
      </c>
      <c r="O20" s="69">
        <v>1270273879.19</v>
      </c>
    </row>
    <row r="21" spans="1:15" ht="23.25">
      <c r="A21" s="36">
        <v>15</v>
      </c>
      <c r="B21" s="20" t="s">
        <v>25</v>
      </c>
      <c r="C21" s="29">
        <v>5</v>
      </c>
      <c r="D21" s="30">
        <v>1317.03365893</v>
      </c>
      <c r="E21" s="23">
        <v>0.9527950034712811</v>
      </c>
      <c r="F21" s="24">
        <v>4</v>
      </c>
      <c r="G21" s="25">
        <v>1295.08684277</v>
      </c>
      <c r="H21" s="23">
        <v>0.9439877438475862</v>
      </c>
      <c r="I21" s="27">
        <f t="shared" si="0"/>
        <v>21.946816160000026</v>
      </c>
      <c r="J21" s="31">
        <f t="shared" si="1"/>
        <v>1.6946211972209537</v>
      </c>
      <c r="O21" s="69">
        <v>959943746.57</v>
      </c>
    </row>
    <row r="22" spans="1:15" ht="23.25">
      <c r="A22" s="19">
        <v>16</v>
      </c>
      <c r="B22" s="20" t="s">
        <v>28</v>
      </c>
      <c r="C22" s="29">
        <v>161</v>
      </c>
      <c r="D22" s="30">
        <v>896.25085126</v>
      </c>
      <c r="E22" s="23">
        <v>0.6483838337367787</v>
      </c>
      <c r="F22" s="24">
        <v>161</v>
      </c>
      <c r="G22" s="25">
        <v>896.88114817</v>
      </c>
      <c r="H22" s="23">
        <v>0.6537359376994228</v>
      </c>
      <c r="I22" s="27">
        <f t="shared" si="0"/>
        <v>-0.63029690999997</v>
      </c>
      <c r="J22" s="31">
        <f t="shared" si="1"/>
        <v>-0.07027652563397396</v>
      </c>
      <c r="O22" s="69">
        <v>1002236903.99</v>
      </c>
    </row>
    <row r="23" spans="1:15" ht="23.25">
      <c r="A23" s="19">
        <v>17</v>
      </c>
      <c r="B23" s="32" t="s">
        <v>75</v>
      </c>
      <c r="C23" s="21">
        <v>13</v>
      </c>
      <c r="D23" s="22">
        <v>888.5838664199999</v>
      </c>
      <c r="E23" s="23">
        <v>0.642837229215542</v>
      </c>
      <c r="F23" s="63">
        <v>13</v>
      </c>
      <c r="G23" s="25">
        <v>847.0426088300001</v>
      </c>
      <c r="H23" s="23">
        <v>0.6174086670064405</v>
      </c>
      <c r="I23" s="27">
        <f t="shared" si="0"/>
        <v>41.54125758999987</v>
      </c>
      <c r="J23" s="31">
        <f t="shared" si="1"/>
        <v>4.904270122536082</v>
      </c>
      <c r="O23" s="69">
        <v>948305314.91</v>
      </c>
    </row>
    <row r="24" spans="1:15" ht="23.25">
      <c r="A24" s="19">
        <v>18</v>
      </c>
      <c r="B24" s="20" t="s">
        <v>26</v>
      </c>
      <c r="C24" s="29">
        <v>34</v>
      </c>
      <c r="D24" s="30">
        <v>882.57896871</v>
      </c>
      <c r="E24" s="23">
        <v>0.638493045226279</v>
      </c>
      <c r="F24" s="24">
        <v>34</v>
      </c>
      <c r="G24" s="25">
        <v>861.1898311699999</v>
      </c>
      <c r="H24" s="23">
        <v>0.6277205658362385</v>
      </c>
      <c r="I24" s="27">
        <f t="shared" si="0"/>
        <v>21.389137540000092</v>
      </c>
      <c r="J24" s="31">
        <f t="shared" si="1"/>
        <v>2.4836727938300345</v>
      </c>
      <c r="O24" s="69">
        <v>739942</v>
      </c>
    </row>
    <row r="25" spans="1:15" ht="23.25">
      <c r="A25" s="38">
        <v>19</v>
      </c>
      <c r="B25" s="20" t="s">
        <v>59</v>
      </c>
      <c r="C25" s="21">
        <v>4</v>
      </c>
      <c r="D25" s="30">
        <v>187.57315515000002</v>
      </c>
      <c r="E25" s="23">
        <v>0.13569794803684837</v>
      </c>
      <c r="F25" s="63">
        <v>4</v>
      </c>
      <c r="G25" s="25">
        <v>181.34078222</v>
      </c>
      <c r="H25" s="23">
        <v>0.13217914831817612</v>
      </c>
      <c r="I25" s="27">
        <f t="shared" si="0"/>
        <v>6.232372930000025</v>
      </c>
      <c r="J25" s="31">
        <f>(D25-G25)/G25*100</f>
        <v>3.4368291862990867</v>
      </c>
      <c r="O25" s="69">
        <v>603868890.65</v>
      </c>
    </row>
    <row r="26" spans="1:15" ht="23.25">
      <c r="A26" s="38">
        <v>20</v>
      </c>
      <c r="B26" s="20" t="s">
        <v>29</v>
      </c>
      <c r="C26" s="33">
        <v>13</v>
      </c>
      <c r="D26" s="30">
        <v>56.472</v>
      </c>
      <c r="E26" s="23">
        <v>0.04085411110885662</v>
      </c>
      <c r="F26" s="24">
        <v>17</v>
      </c>
      <c r="G26" s="25">
        <v>696.168</v>
      </c>
      <c r="H26" s="23">
        <v>0.5074362876340307</v>
      </c>
      <c r="I26" s="27">
        <f t="shared" si="0"/>
        <v>-639.696</v>
      </c>
      <c r="J26" s="31">
        <f>(D26-G26)/G26*100</f>
        <v>-91.8881649257076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7.8</v>
      </c>
      <c r="E27" s="23">
        <v>0.005642833026085169</v>
      </c>
      <c r="F27" s="24">
        <v>1</v>
      </c>
      <c r="G27" s="25">
        <v>7.56</v>
      </c>
      <c r="H27" s="42">
        <v>0.005510477836547029</v>
      </c>
      <c r="I27" s="27">
        <f t="shared" si="0"/>
        <v>0.2400000000000002</v>
      </c>
      <c r="J27" s="31">
        <f>(D27-G27)/G27*100</f>
        <v>3.174603174603178</v>
      </c>
      <c r="O27" s="69">
        <v>135737812</v>
      </c>
    </row>
    <row r="28" spans="1:10" ht="23.25">
      <c r="A28" s="38">
        <v>22</v>
      </c>
      <c r="B28" s="20" t="s">
        <v>49</v>
      </c>
      <c r="C28" s="40">
        <v>1</v>
      </c>
      <c r="D28" s="30">
        <v>1.05484392</v>
      </c>
      <c r="E28" s="23">
        <v>0.0007631164242488642</v>
      </c>
      <c r="F28" s="24">
        <v>1</v>
      </c>
      <c r="G28" s="25">
        <v>1</v>
      </c>
      <c r="H28" s="42">
        <v>0.000728899184728443</v>
      </c>
      <c r="I28" s="27">
        <f t="shared" si="0"/>
        <v>0.054843919999999935</v>
      </c>
      <c r="J28" s="31">
        <f>(D28-G28)/G28*100</f>
        <v>5.4843919999999935</v>
      </c>
    </row>
    <row r="29" spans="1:10" ht="23.25">
      <c r="A29" s="38">
        <v>23</v>
      </c>
      <c r="B29" s="20" t="s">
        <v>33</v>
      </c>
      <c r="C29" s="40"/>
      <c r="D29" s="39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31</v>
      </c>
      <c r="C30" s="33"/>
      <c r="D30" s="30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3.25">
      <c r="A31" s="38">
        <v>25</v>
      </c>
      <c r="B31" s="20" t="s">
        <v>60</v>
      </c>
      <c r="C31" s="40"/>
      <c r="D31" s="41"/>
      <c r="E31" s="23">
        <v>0</v>
      </c>
      <c r="F31" s="24"/>
      <c r="G31" s="25"/>
      <c r="H31" s="42">
        <v>0</v>
      </c>
      <c r="I31" s="27">
        <f t="shared" si="0"/>
        <v>0</v>
      </c>
      <c r="J31" s="31">
        <v>0</v>
      </c>
    </row>
    <row r="32" spans="1:10" ht="24" thickBot="1">
      <c r="A32" s="38">
        <v>26</v>
      </c>
      <c r="B32" s="20" t="s">
        <v>44</v>
      </c>
      <c r="C32" s="40"/>
      <c r="D32" s="41"/>
      <c r="E32" s="23">
        <v>0</v>
      </c>
      <c r="F32" s="24"/>
      <c r="G32" s="25"/>
      <c r="H32" s="42">
        <v>0</v>
      </c>
      <c r="I32" s="27">
        <f t="shared" si="0"/>
        <v>0</v>
      </c>
      <c r="J32" s="31">
        <v>0</v>
      </c>
    </row>
    <row r="33" spans="1:11" ht="24" thickBot="1">
      <c r="A33" s="72" t="s">
        <v>36</v>
      </c>
      <c r="B33" s="73"/>
      <c r="C33" s="43">
        <f aca="true" t="shared" si="2" ref="C33:I33">SUM(C7:C32)</f>
        <v>1464</v>
      </c>
      <c r="D33" s="44">
        <f t="shared" si="2"/>
        <v>138228.43887003</v>
      </c>
      <c r="E33" s="45">
        <f t="shared" si="2"/>
        <v>100.00000000000001</v>
      </c>
      <c r="F33" s="43">
        <f t="shared" si="2"/>
        <v>1467</v>
      </c>
      <c r="G33" s="46">
        <f t="shared" si="2"/>
        <v>137193.18404404</v>
      </c>
      <c r="H33" s="47">
        <f t="shared" si="2"/>
        <v>99.99999999999999</v>
      </c>
      <c r="I33" s="48">
        <f t="shared" si="2"/>
        <v>1035.25482599</v>
      </c>
      <c r="J33" s="65">
        <f>(D33-G33)/G33*100</f>
        <v>0.7545963986502808</v>
      </c>
      <c r="K33" s="50"/>
    </row>
    <row r="34" spans="1:11" ht="5.25" customHeight="1">
      <c r="A34" s="51"/>
      <c r="B34" s="52"/>
      <c r="C34" s="53"/>
      <c r="D34" s="54"/>
      <c r="E34" s="55"/>
      <c r="F34" s="53"/>
      <c r="G34" s="54"/>
      <c r="H34" s="55"/>
      <c r="I34" s="56"/>
      <c r="J34" s="57"/>
      <c r="K34" s="50"/>
    </row>
    <row r="35" spans="2:10" ht="21">
      <c r="B35" s="58" t="s">
        <v>79</v>
      </c>
      <c r="H35" s="59" t="s">
        <v>37</v>
      </c>
      <c r="J35" s="60"/>
    </row>
    <row r="36" spans="2:10" ht="21">
      <c r="B36" s="61" t="s">
        <v>40</v>
      </c>
      <c r="H36" s="59" t="s">
        <v>39</v>
      </c>
      <c r="J36" s="60"/>
    </row>
    <row r="37" spans="8:10" ht="21">
      <c r="H37" s="59"/>
      <c r="J37" s="60"/>
    </row>
    <row r="38" spans="8:10" ht="21">
      <c r="H38" s="59"/>
      <c r="J38" s="60"/>
    </row>
    <row r="40" ht="21">
      <c r="F40" s="62"/>
    </row>
    <row r="41" ht="21" hidden="1"/>
  </sheetData>
  <mergeCells count="6">
    <mergeCell ref="A33:B33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.13671875" style="1" hidden="1" customWidth="1"/>
    <col min="15" max="15" width="0.1367187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80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81</v>
      </c>
      <c r="D4" s="77"/>
      <c r="E4" s="78"/>
      <c r="F4" s="76" t="s">
        <v>78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222</v>
      </c>
      <c r="D7" s="30">
        <v>39667.49552634</v>
      </c>
      <c r="E7" s="23">
        <v>28.71417640961632</v>
      </c>
      <c r="F7" s="24">
        <v>223</v>
      </c>
      <c r="G7" s="25">
        <v>42322.57642173</v>
      </c>
      <c r="H7" s="26">
        <v>30.617850254045067</v>
      </c>
      <c r="I7" s="27">
        <f aca="true" t="shared" si="0" ref="I7:I32">(D7-G7)</f>
        <v>-2655.080895390005</v>
      </c>
      <c r="J7" s="28">
        <f aca="true" t="shared" si="1" ref="J7:J29">(D7-G7)/G7*100</f>
        <v>-6.273438717277115</v>
      </c>
      <c r="O7" s="69">
        <v>42028692348.32</v>
      </c>
    </row>
    <row r="8" spans="1:15" ht="23.25">
      <c r="A8" s="19">
        <v>2</v>
      </c>
      <c r="B8" s="20" t="s">
        <v>14</v>
      </c>
      <c r="C8" s="29">
        <v>113</v>
      </c>
      <c r="D8" s="30">
        <v>20626.885525439997</v>
      </c>
      <c r="E8" s="23">
        <v>14.931218164886594</v>
      </c>
      <c r="F8" s="24">
        <v>111</v>
      </c>
      <c r="G8" s="25">
        <v>21096.46326502</v>
      </c>
      <c r="H8" s="23">
        <v>15.262028159672742</v>
      </c>
      <c r="I8" s="27">
        <f t="shared" si="0"/>
        <v>-469.57773958000325</v>
      </c>
      <c r="J8" s="31">
        <f t="shared" si="1"/>
        <v>-2.2258600111356537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43</v>
      </c>
      <c r="D9" s="30">
        <v>16506.44405876</v>
      </c>
      <c r="E9" s="23">
        <v>11.948547300748372</v>
      </c>
      <c r="F9" s="24">
        <v>43</v>
      </c>
      <c r="G9" s="25">
        <v>17000.26635062</v>
      </c>
      <c r="H9" s="23">
        <v>12.29867492506704</v>
      </c>
      <c r="I9" s="27">
        <f t="shared" si="0"/>
        <v>-493.8222918600004</v>
      </c>
      <c r="J9" s="31">
        <f t="shared" si="1"/>
        <v>-2.9047914995872444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51</v>
      </c>
      <c r="D10" s="30">
        <v>14970.58850903</v>
      </c>
      <c r="E10" s="23">
        <v>10.836784972185136</v>
      </c>
      <c r="F10" s="24">
        <v>50</v>
      </c>
      <c r="G10" s="25">
        <v>14667.90484215</v>
      </c>
      <c r="H10" s="23">
        <v>10.61135100855879</v>
      </c>
      <c r="I10" s="27">
        <f t="shared" si="0"/>
        <v>302.6836668800006</v>
      </c>
      <c r="J10" s="31">
        <f t="shared" si="1"/>
        <v>2.063578064743115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124</v>
      </c>
      <c r="D11" s="30">
        <v>7474.06</v>
      </c>
      <c r="E11" s="23">
        <v>5.410260327465109</v>
      </c>
      <c r="F11" s="24">
        <v>124</v>
      </c>
      <c r="G11" s="25">
        <v>8828.41</v>
      </c>
      <c r="H11" s="23">
        <v>6.386826091771866</v>
      </c>
      <c r="I11" s="27">
        <f t="shared" si="0"/>
        <v>-1354.3499999999995</v>
      </c>
      <c r="J11" s="31">
        <f t="shared" si="1"/>
        <v>-15.34081448414833</v>
      </c>
      <c r="O11" s="69">
        <v>9713.24</v>
      </c>
    </row>
    <row r="12" spans="1:15" ht="23.25">
      <c r="A12" s="19">
        <v>6</v>
      </c>
      <c r="B12" s="20" t="s">
        <v>19</v>
      </c>
      <c r="C12" s="29">
        <v>11</v>
      </c>
      <c r="D12" s="30">
        <v>6792.8009</v>
      </c>
      <c r="E12" s="23">
        <v>4.917116161984154</v>
      </c>
      <c r="F12" s="24">
        <v>10</v>
      </c>
      <c r="G12" s="25">
        <v>6192.73757</v>
      </c>
      <c r="H12" s="23">
        <v>4.480074882291591</v>
      </c>
      <c r="I12" s="27">
        <f t="shared" si="0"/>
        <v>600.06333</v>
      </c>
      <c r="J12" s="31">
        <f t="shared" si="1"/>
        <v>9.68979103695492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409</v>
      </c>
      <c r="D13" s="30">
        <v>6537.93</v>
      </c>
      <c r="E13" s="23">
        <v>4.732622336821481</v>
      </c>
      <c r="F13" s="24">
        <v>409</v>
      </c>
      <c r="G13" s="25">
        <v>5784.15</v>
      </c>
      <c r="H13" s="23">
        <v>4.184486236901349</v>
      </c>
      <c r="I13" s="27">
        <f t="shared" si="0"/>
        <v>753.7800000000007</v>
      </c>
      <c r="J13" s="31">
        <f t="shared" si="1"/>
        <v>13.031819714219042</v>
      </c>
      <c r="O13" s="69">
        <v>5324.85</v>
      </c>
    </row>
    <row r="14" spans="1:15" ht="23.25">
      <c r="A14" s="19">
        <v>8</v>
      </c>
      <c r="B14" s="32" t="s">
        <v>23</v>
      </c>
      <c r="C14" s="33">
        <v>25</v>
      </c>
      <c r="D14" s="30">
        <v>5490.67228392</v>
      </c>
      <c r="E14" s="23">
        <v>3.9745421402563825</v>
      </c>
      <c r="F14" s="24">
        <v>24</v>
      </c>
      <c r="G14" s="25">
        <v>4998.63810204</v>
      </c>
      <c r="H14" s="23">
        <v>3.616215406107564</v>
      </c>
      <c r="I14" s="27">
        <f t="shared" si="0"/>
        <v>492.0341818799998</v>
      </c>
      <c r="J14" s="31">
        <f t="shared" si="1"/>
        <v>9.843364769279757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59</v>
      </c>
      <c r="D15" s="30">
        <v>3693.0574672899997</v>
      </c>
      <c r="E15" s="23">
        <v>2.6732996928480453</v>
      </c>
      <c r="F15" s="24">
        <v>60</v>
      </c>
      <c r="G15" s="25">
        <v>3636.96643112</v>
      </c>
      <c r="H15" s="23">
        <v>2.631127473370134</v>
      </c>
      <c r="I15" s="27">
        <f t="shared" si="0"/>
        <v>56.091036169999825</v>
      </c>
      <c r="J15" s="31">
        <f t="shared" si="1"/>
        <v>1.5422478384747327</v>
      </c>
      <c r="O15" s="69">
        <v>3643005417.19</v>
      </c>
    </row>
    <row r="16" spans="1:15" ht="23.25">
      <c r="A16" s="19">
        <v>10</v>
      </c>
      <c r="B16" s="20" t="s">
        <v>44</v>
      </c>
      <c r="C16" s="21">
        <v>2</v>
      </c>
      <c r="D16" s="22">
        <v>2717.8323229099997</v>
      </c>
      <c r="E16" s="23">
        <v>1.9673618345775004</v>
      </c>
      <c r="F16" s="24">
        <v>0</v>
      </c>
      <c r="G16" s="25">
        <v>0</v>
      </c>
      <c r="H16" s="23">
        <v>0</v>
      </c>
      <c r="I16" s="27">
        <f t="shared" si="0"/>
        <v>2717.8323229099997</v>
      </c>
      <c r="J16" s="31">
        <v>0</v>
      </c>
      <c r="O16" s="69">
        <v>3853289962.87</v>
      </c>
    </row>
    <row r="17" spans="1:15" ht="23.25">
      <c r="A17" s="19">
        <v>11</v>
      </c>
      <c r="B17" s="20" t="s">
        <v>58</v>
      </c>
      <c r="C17" s="33">
        <v>59</v>
      </c>
      <c r="D17" s="30">
        <v>2541.58</v>
      </c>
      <c r="E17" s="23">
        <v>1.8397777704592646</v>
      </c>
      <c r="F17" s="24">
        <v>59</v>
      </c>
      <c r="G17" s="25">
        <v>2620.93</v>
      </c>
      <c r="H17" s="23">
        <v>1.896085943981718</v>
      </c>
      <c r="I17" s="27">
        <f t="shared" si="0"/>
        <v>-79.34999999999991</v>
      </c>
      <c r="J17" s="31">
        <f t="shared" si="1"/>
        <v>-3.0275512890462513</v>
      </c>
      <c r="O17" s="69">
        <v>2994.93</v>
      </c>
    </row>
    <row r="18" spans="1:15" ht="23.25">
      <c r="A18" s="19">
        <v>12</v>
      </c>
      <c r="B18" s="20" t="s">
        <v>21</v>
      </c>
      <c r="C18" s="21">
        <v>55</v>
      </c>
      <c r="D18" s="30">
        <v>2083.54347552</v>
      </c>
      <c r="E18" s="23">
        <v>1.5082181045047305</v>
      </c>
      <c r="F18" s="24">
        <v>41</v>
      </c>
      <c r="G18" s="25">
        <v>1880.83912271</v>
      </c>
      <c r="H18" s="23">
        <v>1.3606745023565439</v>
      </c>
      <c r="I18" s="27">
        <f t="shared" si="0"/>
        <v>202.70435280999982</v>
      </c>
      <c r="J18" s="31">
        <f t="shared" si="1"/>
        <v>10.777336049769849</v>
      </c>
      <c r="O18" s="69">
        <v>1749883380.11</v>
      </c>
    </row>
    <row r="19" spans="1:15" ht="23.25">
      <c r="A19" s="19">
        <v>13</v>
      </c>
      <c r="B19" s="20" t="s">
        <v>24</v>
      </c>
      <c r="C19" s="29">
        <v>32</v>
      </c>
      <c r="D19" s="30">
        <v>1742.66800844</v>
      </c>
      <c r="E19" s="23">
        <v>1.261468009355767</v>
      </c>
      <c r="F19" s="24">
        <v>33</v>
      </c>
      <c r="G19" s="25">
        <v>1771.6013354200002</v>
      </c>
      <c r="H19" s="23">
        <v>1.281647503149303</v>
      </c>
      <c r="I19" s="27">
        <f t="shared" si="0"/>
        <v>-28.933326980000174</v>
      </c>
      <c r="J19" s="31">
        <f t="shared" si="1"/>
        <v>-1.6331736944158965</v>
      </c>
      <c r="O19" s="69">
        <v>1459912482.26</v>
      </c>
    </row>
    <row r="20" spans="1:15" ht="23.25">
      <c r="A20" s="19">
        <v>14</v>
      </c>
      <c r="B20" s="20" t="s">
        <v>30</v>
      </c>
      <c r="C20" s="21">
        <v>45</v>
      </c>
      <c r="D20" s="30">
        <v>1626.93692636</v>
      </c>
      <c r="E20" s="23">
        <v>1.177693557179569</v>
      </c>
      <c r="F20" s="24">
        <v>43</v>
      </c>
      <c r="G20" s="25">
        <v>1581.50226925</v>
      </c>
      <c r="H20" s="23">
        <v>1.1441222097118637</v>
      </c>
      <c r="I20" s="27">
        <f t="shared" si="0"/>
        <v>45.43465710999999</v>
      </c>
      <c r="J20" s="31">
        <f t="shared" si="1"/>
        <v>2.8728796659613134</v>
      </c>
      <c r="O20" s="69">
        <v>1270273879.19</v>
      </c>
    </row>
    <row r="21" spans="1:15" ht="23.25">
      <c r="A21" s="36">
        <v>15</v>
      </c>
      <c r="B21" s="20" t="s">
        <v>43</v>
      </c>
      <c r="C21" s="29">
        <v>2</v>
      </c>
      <c r="D21" s="30">
        <v>1529.19590626</v>
      </c>
      <c r="E21" s="23">
        <v>1.1069416012930764</v>
      </c>
      <c r="F21" s="24">
        <v>2</v>
      </c>
      <c r="G21" s="25">
        <v>1608.10581558</v>
      </c>
      <c r="H21" s="23">
        <v>1.163368282768519</v>
      </c>
      <c r="I21" s="27">
        <f t="shared" si="0"/>
        <v>-78.90990932</v>
      </c>
      <c r="J21" s="31">
        <f t="shared" si="1"/>
        <v>-4.907009759898129</v>
      </c>
      <c r="O21" s="69">
        <v>959943746.57</v>
      </c>
    </row>
    <row r="22" spans="1:15" ht="23.25">
      <c r="A22" s="19">
        <v>16</v>
      </c>
      <c r="B22" s="20" t="s">
        <v>25</v>
      </c>
      <c r="C22" s="29">
        <v>4</v>
      </c>
      <c r="D22" s="30">
        <v>1295.4344653399999</v>
      </c>
      <c r="E22" s="23">
        <v>0.9377283156222959</v>
      </c>
      <c r="F22" s="24">
        <v>5</v>
      </c>
      <c r="G22" s="25">
        <v>1317.03365893</v>
      </c>
      <c r="H22" s="23">
        <v>0.9527950034712811</v>
      </c>
      <c r="I22" s="27">
        <f t="shared" si="0"/>
        <v>-21.59919359000014</v>
      </c>
      <c r="J22" s="31">
        <f t="shared" si="1"/>
        <v>-1.639987971723366</v>
      </c>
      <c r="O22" s="69">
        <v>1002236903.99</v>
      </c>
    </row>
    <row r="23" spans="1:15" ht="23.25">
      <c r="A23" s="19">
        <v>17</v>
      </c>
      <c r="B23" s="32" t="s">
        <v>75</v>
      </c>
      <c r="C23" s="21">
        <v>13</v>
      </c>
      <c r="D23" s="22">
        <v>934.28479472</v>
      </c>
      <c r="E23" s="23">
        <v>0.6763022988078099</v>
      </c>
      <c r="F23" s="63">
        <v>13</v>
      </c>
      <c r="G23" s="25">
        <v>888.5838664199999</v>
      </c>
      <c r="H23" s="23">
        <v>0.642837229215542</v>
      </c>
      <c r="I23" s="27">
        <f t="shared" si="0"/>
        <v>45.7009283000001</v>
      </c>
      <c r="J23" s="31">
        <f t="shared" si="1"/>
        <v>5.143119296563843</v>
      </c>
      <c r="O23" s="69">
        <v>948305314.91</v>
      </c>
    </row>
    <row r="24" spans="1:15" ht="23.25">
      <c r="A24" s="19">
        <v>18</v>
      </c>
      <c r="B24" s="20" t="s">
        <v>28</v>
      </c>
      <c r="C24" s="29">
        <v>162</v>
      </c>
      <c r="D24" s="30">
        <v>902.8818389099999</v>
      </c>
      <c r="E24" s="23">
        <v>0.6535705886015788</v>
      </c>
      <c r="F24" s="24">
        <v>161</v>
      </c>
      <c r="G24" s="25">
        <v>896.25085126</v>
      </c>
      <c r="H24" s="23">
        <v>0.6483838337367787</v>
      </c>
      <c r="I24" s="27">
        <f t="shared" si="0"/>
        <v>6.630987649999952</v>
      </c>
      <c r="J24" s="31">
        <f t="shared" si="1"/>
        <v>0.73985844930331</v>
      </c>
      <c r="O24" s="69">
        <v>739942</v>
      </c>
    </row>
    <row r="25" spans="1:15" ht="23.25">
      <c r="A25" s="38">
        <v>19</v>
      </c>
      <c r="B25" s="20" t="s">
        <v>26</v>
      </c>
      <c r="C25" s="29">
        <v>34</v>
      </c>
      <c r="D25" s="30">
        <v>822.5702517999999</v>
      </c>
      <c r="E25" s="23">
        <v>0.5954353055590301</v>
      </c>
      <c r="F25" s="24">
        <v>34</v>
      </c>
      <c r="G25" s="25">
        <v>882.57896871</v>
      </c>
      <c r="H25" s="23">
        <v>0.638493045226279</v>
      </c>
      <c r="I25" s="27">
        <f t="shared" si="0"/>
        <v>-60.00871691000009</v>
      </c>
      <c r="J25" s="31">
        <f t="shared" si="1"/>
        <v>-6.799246190707486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v>180.44381543</v>
      </c>
      <c r="E26" s="23">
        <v>0.13061816682731547</v>
      </c>
      <c r="F26" s="63">
        <v>4</v>
      </c>
      <c r="G26" s="25">
        <v>187.57315515000002</v>
      </c>
      <c r="H26" s="23">
        <v>0.13569794803684837</v>
      </c>
      <c r="I26" s="27">
        <f t="shared" si="0"/>
        <v>-7.129339720000019</v>
      </c>
      <c r="J26" s="31">
        <f t="shared" si="1"/>
        <v>-3.8008315818427056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7.71</v>
      </c>
      <c r="E27" s="23">
        <v>0.005581050610345112</v>
      </c>
      <c r="F27" s="24">
        <v>1</v>
      </c>
      <c r="G27" s="25">
        <v>7.8</v>
      </c>
      <c r="H27" s="42">
        <v>0.005642833026085169</v>
      </c>
      <c r="I27" s="27">
        <f t="shared" si="0"/>
        <v>-0.08999999999999986</v>
      </c>
      <c r="J27" s="31">
        <f t="shared" si="1"/>
        <v>-1.153846153846152</v>
      </c>
      <c r="O27" s="69">
        <v>135737812</v>
      </c>
    </row>
    <row r="28" spans="1:10" ht="23.25">
      <c r="A28" s="38">
        <v>22</v>
      </c>
      <c r="B28" s="20" t="s">
        <v>49</v>
      </c>
      <c r="C28" s="40">
        <v>1</v>
      </c>
      <c r="D28" s="30">
        <v>1.01660255</v>
      </c>
      <c r="E28" s="23">
        <v>0.000735889790162892</v>
      </c>
      <c r="F28" s="24">
        <v>1</v>
      </c>
      <c r="G28" s="25">
        <v>1.05484392</v>
      </c>
      <c r="H28" s="42">
        <v>0.0007631164242488642</v>
      </c>
      <c r="I28" s="27">
        <f t="shared" si="0"/>
        <v>-0.03824136999999994</v>
      </c>
      <c r="J28" s="31">
        <f t="shared" si="1"/>
        <v>-3.6253107473947375</v>
      </c>
    </row>
    <row r="29" spans="1:10" ht="23.25">
      <c r="A29" s="38">
        <v>23</v>
      </c>
      <c r="B29" s="20" t="s">
        <v>29</v>
      </c>
      <c r="C29" s="33">
        <v>0</v>
      </c>
      <c r="D29" s="39">
        <v>0</v>
      </c>
      <c r="E29" s="23">
        <v>0</v>
      </c>
      <c r="F29" s="24">
        <v>13</v>
      </c>
      <c r="G29" s="25">
        <v>56.472</v>
      </c>
      <c r="H29" s="42">
        <v>0.04085411110885662</v>
      </c>
      <c r="I29" s="27">
        <f t="shared" si="0"/>
        <v>-56.472</v>
      </c>
      <c r="J29" s="31">
        <f t="shared" si="1"/>
        <v>-100</v>
      </c>
    </row>
    <row r="30" spans="1:10" ht="23.25">
      <c r="A30" s="38">
        <v>24</v>
      </c>
      <c r="B30" s="20" t="s">
        <v>33</v>
      </c>
      <c r="C30" s="40"/>
      <c r="D30" s="30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3.25">
      <c r="A31" s="38">
        <v>25</v>
      </c>
      <c r="B31" s="20" t="s">
        <v>31</v>
      </c>
      <c r="C31" s="33"/>
      <c r="D31" s="39"/>
      <c r="E31" s="23">
        <v>0</v>
      </c>
      <c r="F31" s="24"/>
      <c r="G31" s="25"/>
      <c r="H31" s="42">
        <v>0</v>
      </c>
      <c r="I31" s="27">
        <f t="shared" si="0"/>
        <v>0</v>
      </c>
      <c r="J31" s="31">
        <v>0</v>
      </c>
    </row>
    <row r="32" spans="1:10" ht="24" thickBot="1">
      <c r="A32" s="38">
        <v>26</v>
      </c>
      <c r="B32" s="20" t="s">
        <v>60</v>
      </c>
      <c r="C32" s="40"/>
      <c r="D32" s="41"/>
      <c r="E32" s="23">
        <v>0</v>
      </c>
      <c r="F32" s="24"/>
      <c r="G32" s="25"/>
      <c r="H32" s="42">
        <v>0</v>
      </c>
      <c r="I32" s="27">
        <f t="shared" si="0"/>
        <v>0</v>
      </c>
      <c r="J32" s="31">
        <v>0</v>
      </c>
    </row>
    <row r="33" spans="1:11" ht="24" thickBot="1">
      <c r="A33" s="72" t="s">
        <v>36</v>
      </c>
      <c r="B33" s="73"/>
      <c r="C33" s="43">
        <f aca="true" t="shared" si="2" ref="C33:I33">SUM(C7:C32)</f>
        <v>1471</v>
      </c>
      <c r="D33" s="44">
        <f t="shared" si="2"/>
        <v>138146.03267901993</v>
      </c>
      <c r="E33" s="45">
        <f t="shared" si="2"/>
        <v>100.00000000000007</v>
      </c>
      <c r="F33" s="43">
        <f t="shared" si="2"/>
        <v>1464</v>
      </c>
      <c r="G33" s="46">
        <f t="shared" si="2"/>
        <v>138228.43887003</v>
      </c>
      <c r="H33" s="47">
        <f t="shared" si="2"/>
        <v>100.00000000000001</v>
      </c>
      <c r="I33" s="48">
        <f t="shared" si="2"/>
        <v>-82.40619101000813</v>
      </c>
      <c r="J33" s="65">
        <f>(D33-G33)/G33*100</f>
        <v>-0.059615945664799185</v>
      </c>
      <c r="K33" s="50"/>
    </row>
    <row r="34" spans="1:11" ht="5.25" customHeight="1">
      <c r="A34" s="51"/>
      <c r="B34" s="52"/>
      <c r="C34" s="53"/>
      <c r="D34" s="54"/>
      <c r="E34" s="55"/>
      <c r="F34" s="53"/>
      <c r="G34" s="54"/>
      <c r="H34" s="55"/>
      <c r="I34" s="56"/>
      <c r="J34" s="57"/>
      <c r="K34" s="50"/>
    </row>
    <row r="35" spans="2:10" ht="21">
      <c r="B35" s="58" t="s">
        <v>82</v>
      </c>
      <c r="H35" s="59" t="s">
        <v>37</v>
      </c>
      <c r="J35" s="60"/>
    </row>
    <row r="36" spans="2:10" ht="21">
      <c r="B36" s="61" t="s">
        <v>40</v>
      </c>
      <c r="H36" s="59" t="s">
        <v>39</v>
      </c>
      <c r="J36" s="60"/>
    </row>
    <row r="37" spans="8:10" ht="21">
      <c r="H37" s="59"/>
      <c r="J37" s="60"/>
    </row>
    <row r="38" spans="8:10" ht="21">
      <c r="H38" s="59"/>
      <c r="J38" s="60"/>
    </row>
    <row r="40" ht="21">
      <c r="F40" s="62"/>
    </row>
    <row r="41" ht="21" hidden="1"/>
  </sheetData>
  <mergeCells count="6">
    <mergeCell ref="A33:B33"/>
    <mergeCell ref="A1:J1"/>
    <mergeCell ref="A2:J2"/>
    <mergeCell ref="C4:E4"/>
    <mergeCell ref="F4:H4"/>
    <mergeCell ref="I4:J4"/>
  </mergeCells>
  <printOptions/>
  <pageMargins left="1.3779527559055118" right="1.3779527559055118" top="0.11811023622047245" bottom="0.11811023622047245" header="0.5118110236220472" footer="0.5118110236220472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.13671875" style="1" hidden="1" customWidth="1"/>
    <col min="15" max="15" width="0.1367187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83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84</v>
      </c>
      <c r="D4" s="77"/>
      <c r="E4" s="78"/>
      <c r="F4" s="76" t="s">
        <v>81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224</v>
      </c>
      <c r="D7" s="30">
        <f>40017160249.61/1000000</f>
        <v>40017.16024961</v>
      </c>
      <c r="E7" s="23">
        <f aca="true" t="shared" si="0" ref="E7:E32">(D7/$D$33)*100</f>
        <v>28.64328940933168</v>
      </c>
      <c r="F7" s="24">
        <v>222</v>
      </c>
      <c r="G7" s="25">
        <v>39667.49552634</v>
      </c>
      <c r="H7" s="26">
        <f aca="true" t="shared" si="1" ref="H7:H32">(G7/$G$33)*100</f>
        <v>28.71417640961632</v>
      </c>
      <c r="I7" s="27">
        <f aca="true" t="shared" si="2" ref="I7:I32">(D7-G7)</f>
        <v>349.6647232700052</v>
      </c>
      <c r="J7" s="28">
        <f aca="true" t="shared" si="3" ref="J7:J28">(D7-G7)/G7*100</f>
        <v>0.8814892864557605</v>
      </c>
      <c r="O7" s="69">
        <v>42028692348.32</v>
      </c>
    </row>
    <row r="8" spans="1:15" ht="23.25">
      <c r="A8" s="19">
        <v>2</v>
      </c>
      <c r="B8" s="20" t="s">
        <v>14</v>
      </c>
      <c r="C8" s="29">
        <v>118</v>
      </c>
      <c r="D8" s="30">
        <f>20713230275.01/1000000</f>
        <v>20713.23027501</v>
      </c>
      <c r="E8" s="23">
        <f t="shared" si="0"/>
        <v>14.826015780942987</v>
      </c>
      <c r="F8" s="24">
        <v>113</v>
      </c>
      <c r="G8" s="25">
        <v>20626.885525439997</v>
      </c>
      <c r="H8" s="23">
        <f t="shared" si="1"/>
        <v>14.931218164886594</v>
      </c>
      <c r="I8" s="27">
        <f t="shared" si="2"/>
        <v>86.34474957000202</v>
      </c>
      <c r="J8" s="31">
        <f t="shared" si="3"/>
        <v>0.418602941600221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40</v>
      </c>
      <c r="D9" s="30">
        <f>16681717684.21/1000000</f>
        <v>16681.717684209998</v>
      </c>
      <c r="E9" s="23">
        <f t="shared" si="0"/>
        <v>11.940359198232962</v>
      </c>
      <c r="F9" s="24">
        <v>43</v>
      </c>
      <c r="G9" s="25">
        <v>16506.44405876</v>
      </c>
      <c r="H9" s="23">
        <f t="shared" si="1"/>
        <v>11.948547300748372</v>
      </c>
      <c r="I9" s="27">
        <f t="shared" si="2"/>
        <v>175.27362544999778</v>
      </c>
      <c r="J9" s="31">
        <f t="shared" si="3"/>
        <v>1.0618496923144374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50</v>
      </c>
      <c r="D10" s="30">
        <f>15091358000.61/1000000</f>
        <v>15091.35800061</v>
      </c>
      <c r="E10" s="23">
        <f t="shared" si="0"/>
        <v>10.802019236123035</v>
      </c>
      <c r="F10" s="24">
        <v>51</v>
      </c>
      <c r="G10" s="25">
        <v>14970.58850903</v>
      </c>
      <c r="H10" s="23">
        <f t="shared" si="1"/>
        <v>10.836784972185136</v>
      </c>
      <c r="I10" s="27">
        <f t="shared" si="2"/>
        <v>120.76949158000025</v>
      </c>
      <c r="J10" s="31">
        <f t="shared" si="3"/>
        <v>0.8067117168249878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20</v>
      </c>
      <c r="C11" s="29">
        <v>408</v>
      </c>
      <c r="D11" s="30">
        <f>7626.81</f>
        <v>7626.81</v>
      </c>
      <c r="E11" s="23">
        <f t="shared" si="0"/>
        <v>5.459081172610543</v>
      </c>
      <c r="F11" s="24">
        <v>409</v>
      </c>
      <c r="G11" s="25">
        <v>6537.93</v>
      </c>
      <c r="H11" s="23">
        <f t="shared" si="1"/>
        <v>4.732622336821481</v>
      </c>
      <c r="I11" s="27">
        <f t="shared" si="2"/>
        <v>1088.88</v>
      </c>
      <c r="J11" s="31">
        <f t="shared" si="3"/>
        <v>16.654812761837462</v>
      </c>
      <c r="O11" s="69">
        <v>9713.24</v>
      </c>
    </row>
    <row r="12" spans="1:15" ht="23.25">
      <c r="A12" s="19">
        <v>6</v>
      </c>
      <c r="B12" s="20" t="s">
        <v>17</v>
      </c>
      <c r="C12" s="29">
        <v>124</v>
      </c>
      <c r="D12" s="30">
        <f>7502.26</f>
        <v>7502.26</v>
      </c>
      <c r="E12" s="23">
        <f t="shared" si="0"/>
        <v>5.3699313760312855</v>
      </c>
      <c r="F12" s="24">
        <v>124</v>
      </c>
      <c r="G12" s="25">
        <v>7474.06</v>
      </c>
      <c r="H12" s="23">
        <f t="shared" si="1"/>
        <v>5.410260327465109</v>
      </c>
      <c r="I12" s="27">
        <f t="shared" si="2"/>
        <v>28.199999999999818</v>
      </c>
      <c r="J12" s="31">
        <f t="shared" si="3"/>
        <v>0.37730497213027214</v>
      </c>
      <c r="O12" s="69">
        <v>6142897.52</v>
      </c>
    </row>
    <row r="13" spans="1:15" ht="23.25">
      <c r="A13" s="19">
        <v>7</v>
      </c>
      <c r="B13" s="32" t="s">
        <v>19</v>
      </c>
      <c r="C13" s="33">
        <v>10</v>
      </c>
      <c r="D13" s="30">
        <f>6803309.17/1000</f>
        <v>6803.3091699999995</v>
      </c>
      <c r="E13" s="23">
        <f t="shared" si="0"/>
        <v>4.869639731604124</v>
      </c>
      <c r="F13" s="24">
        <v>11</v>
      </c>
      <c r="G13" s="25">
        <v>6792.8009</v>
      </c>
      <c r="H13" s="23">
        <f t="shared" si="1"/>
        <v>4.917116161984154</v>
      </c>
      <c r="I13" s="27">
        <f t="shared" si="2"/>
        <v>10.508269999999357</v>
      </c>
      <c r="J13" s="31">
        <f t="shared" si="3"/>
        <v>0.1546971588700525</v>
      </c>
      <c r="O13" s="69">
        <v>5324.85</v>
      </c>
    </row>
    <row r="14" spans="1:15" ht="23.25">
      <c r="A14" s="19">
        <v>8</v>
      </c>
      <c r="B14" s="32" t="s">
        <v>23</v>
      </c>
      <c r="C14" s="33">
        <v>23</v>
      </c>
      <c r="D14" s="30">
        <f>5292599824.88/1000000</f>
        <v>5292.59982488</v>
      </c>
      <c r="E14" s="23">
        <f t="shared" si="0"/>
        <v>3.7883115035203785</v>
      </c>
      <c r="F14" s="24">
        <v>25</v>
      </c>
      <c r="G14" s="25">
        <v>5490.67228392</v>
      </c>
      <c r="H14" s="23">
        <f t="shared" si="1"/>
        <v>3.9745421402563825</v>
      </c>
      <c r="I14" s="27">
        <f t="shared" si="2"/>
        <v>-198.07245904000047</v>
      </c>
      <c r="J14" s="31">
        <f t="shared" si="3"/>
        <v>-3.607435461411093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60</v>
      </c>
      <c r="D15" s="30">
        <f>3646580823.82/1000000</f>
        <v>3646.58082382</v>
      </c>
      <c r="E15" s="23">
        <f t="shared" si="0"/>
        <v>2.610131984370714</v>
      </c>
      <c r="F15" s="24">
        <v>59</v>
      </c>
      <c r="G15" s="25">
        <v>3693.0574672899997</v>
      </c>
      <c r="H15" s="23">
        <f t="shared" si="1"/>
        <v>2.6732996928480453</v>
      </c>
      <c r="I15" s="27">
        <f t="shared" si="2"/>
        <v>-46.476643469999544</v>
      </c>
      <c r="J15" s="31">
        <f t="shared" si="3"/>
        <v>-1.2584868738613089</v>
      </c>
      <c r="O15" s="69">
        <v>3643005417.19</v>
      </c>
    </row>
    <row r="16" spans="1:15" ht="23.25">
      <c r="A16" s="19">
        <v>10</v>
      </c>
      <c r="B16" s="20" t="s">
        <v>44</v>
      </c>
      <c r="C16" s="21">
        <v>2</v>
      </c>
      <c r="D16" s="22">
        <f>3024439052.99/1000000</f>
        <v>3024.4390529899997</v>
      </c>
      <c r="E16" s="23">
        <f t="shared" si="0"/>
        <v>2.1648183568078614</v>
      </c>
      <c r="F16" s="24">
        <v>2</v>
      </c>
      <c r="G16" s="25">
        <v>2717.8323229099997</v>
      </c>
      <c r="H16" s="23">
        <f t="shared" si="1"/>
        <v>1.9673618345775004</v>
      </c>
      <c r="I16" s="27">
        <f t="shared" si="2"/>
        <v>306.60673008000003</v>
      </c>
      <c r="J16" s="31">
        <f t="shared" si="3"/>
        <v>11.28129677079248</v>
      </c>
      <c r="O16" s="69">
        <v>3853289962.87</v>
      </c>
    </row>
    <row r="17" spans="1:15" ht="23.25">
      <c r="A17" s="19">
        <v>11</v>
      </c>
      <c r="B17" s="20" t="s">
        <v>58</v>
      </c>
      <c r="C17" s="33">
        <v>58</v>
      </c>
      <c r="D17" s="30">
        <f>2508.36</f>
        <v>2508.36</v>
      </c>
      <c r="E17" s="23">
        <f t="shared" si="0"/>
        <v>1.795421788418668</v>
      </c>
      <c r="F17" s="24">
        <v>59</v>
      </c>
      <c r="G17" s="25">
        <v>2541.58</v>
      </c>
      <c r="H17" s="23">
        <f t="shared" si="1"/>
        <v>1.8397777704592646</v>
      </c>
      <c r="I17" s="27">
        <f t="shared" si="2"/>
        <v>-33.2199999999998</v>
      </c>
      <c r="J17" s="31">
        <f t="shared" si="3"/>
        <v>-1.3070609620786993</v>
      </c>
      <c r="O17" s="69">
        <v>2994.93</v>
      </c>
    </row>
    <row r="18" spans="1:15" ht="23.25">
      <c r="A18" s="19">
        <v>12</v>
      </c>
      <c r="B18" s="20" t="s">
        <v>21</v>
      </c>
      <c r="C18" s="21">
        <v>55</v>
      </c>
      <c r="D18" s="30">
        <f>2085133460.77/1000000</f>
        <v>2085.13346077</v>
      </c>
      <c r="E18" s="23">
        <f t="shared" si="0"/>
        <v>1.492486743221579</v>
      </c>
      <c r="F18" s="24">
        <v>55</v>
      </c>
      <c r="G18" s="25">
        <v>2083.54347552</v>
      </c>
      <c r="H18" s="23">
        <f t="shared" si="1"/>
        <v>1.5082181045047305</v>
      </c>
      <c r="I18" s="27">
        <f t="shared" si="2"/>
        <v>1.5899852500001543</v>
      </c>
      <c r="J18" s="31">
        <f t="shared" si="3"/>
        <v>0.07631159458303763</v>
      </c>
      <c r="O18" s="69">
        <v>1749883380.11</v>
      </c>
    </row>
    <row r="19" spans="1:15" ht="23.25">
      <c r="A19" s="19">
        <v>13</v>
      </c>
      <c r="B19" s="20" t="s">
        <v>30</v>
      </c>
      <c r="C19" s="21">
        <v>46</v>
      </c>
      <c r="D19" s="30">
        <f>1901341184.94/1000000</f>
        <v>1901.34118494</v>
      </c>
      <c r="E19" s="23">
        <f t="shared" si="0"/>
        <v>1.3609327969904814</v>
      </c>
      <c r="F19" s="24">
        <v>45</v>
      </c>
      <c r="G19" s="25">
        <v>1626.93692636</v>
      </c>
      <c r="H19" s="23">
        <f t="shared" si="1"/>
        <v>1.177693557179569</v>
      </c>
      <c r="I19" s="27">
        <f t="shared" si="2"/>
        <v>274.40425858000003</v>
      </c>
      <c r="J19" s="31">
        <f t="shared" si="3"/>
        <v>16.866312033001414</v>
      </c>
      <c r="O19" s="69">
        <v>1459912482.26</v>
      </c>
    </row>
    <row r="20" spans="1:15" ht="23.25">
      <c r="A20" s="19">
        <v>14</v>
      </c>
      <c r="B20" s="20" t="s">
        <v>43</v>
      </c>
      <c r="C20" s="29">
        <v>2</v>
      </c>
      <c r="D20" s="30">
        <f>1534605905.82/1000000</f>
        <v>1534.6059058199999</v>
      </c>
      <c r="E20" s="23">
        <f t="shared" si="0"/>
        <v>1.0984327927192246</v>
      </c>
      <c r="F20" s="24">
        <v>2</v>
      </c>
      <c r="G20" s="25">
        <v>1529.19590626</v>
      </c>
      <c r="H20" s="23">
        <f t="shared" si="1"/>
        <v>1.1069416012930764</v>
      </c>
      <c r="I20" s="27">
        <f t="shared" si="2"/>
        <v>5.40999955999996</v>
      </c>
      <c r="J20" s="31">
        <f t="shared" si="3"/>
        <v>0.3537806724340086</v>
      </c>
      <c r="O20" s="69">
        <v>1270273879.19</v>
      </c>
    </row>
    <row r="21" spans="1:15" ht="23.25">
      <c r="A21" s="36">
        <v>15</v>
      </c>
      <c r="B21" s="20" t="s">
        <v>24</v>
      </c>
      <c r="C21" s="29">
        <v>23</v>
      </c>
      <c r="D21" s="30">
        <f>1390580214.39/1000000</f>
        <v>1390.58021439</v>
      </c>
      <c r="E21" s="23">
        <f t="shared" si="0"/>
        <v>0.9953427799278047</v>
      </c>
      <c r="F21" s="24">
        <v>32</v>
      </c>
      <c r="G21" s="25">
        <v>1742.66800844</v>
      </c>
      <c r="H21" s="23">
        <f t="shared" si="1"/>
        <v>1.261468009355767</v>
      </c>
      <c r="I21" s="27">
        <f t="shared" si="2"/>
        <v>-352.08779404999996</v>
      </c>
      <c r="J21" s="31">
        <f t="shared" si="3"/>
        <v>-20.203951202683843</v>
      </c>
      <c r="O21" s="69">
        <v>959943746.57</v>
      </c>
    </row>
    <row r="22" spans="1:15" ht="23.25">
      <c r="A22" s="19">
        <v>16</v>
      </c>
      <c r="B22" s="20" t="s">
        <v>25</v>
      </c>
      <c r="C22" s="29">
        <v>4</v>
      </c>
      <c r="D22" s="30">
        <f>1293419468.62/1000000</f>
        <v>1293.4194686199999</v>
      </c>
      <c r="E22" s="23">
        <f t="shared" si="0"/>
        <v>0.9257975312655453</v>
      </c>
      <c r="F22" s="24">
        <v>4</v>
      </c>
      <c r="G22" s="25">
        <v>1295.4344653399999</v>
      </c>
      <c r="H22" s="23">
        <f t="shared" si="1"/>
        <v>0.9377283156222959</v>
      </c>
      <c r="I22" s="27">
        <f t="shared" si="2"/>
        <v>-2.014996719999999</v>
      </c>
      <c r="J22" s="31">
        <f t="shared" si="3"/>
        <v>-0.15554601748774247</v>
      </c>
      <c r="O22" s="69">
        <v>1002236903.99</v>
      </c>
    </row>
    <row r="23" spans="1:15" ht="23.25">
      <c r="A23" s="19">
        <v>17</v>
      </c>
      <c r="B23" s="32" t="s">
        <v>75</v>
      </c>
      <c r="C23" s="21">
        <v>13</v>
      </c>
      <c r="D23" s="22">
        <f>911879229.87/1000000</f>
        <v>911.87922987</v>
      </c>
      <c r="E23" s="23">
        <f t="shared" si="0"/>
        <v>0.6527005045986354</v>
      </c>
      <c r="F23" s="63">
        <v>13</v>
      </c>
      <c r="G23" s="25">
        <v>934.28479472</v>
      </c>
      <c r="H23" s="23">
        <f t="shared" si="1"/>
        <v>0.6763022988078099</v>
      </c>
      <c r="I23" s="27">
        <f t="shared" si="2"/>
        <v>-22.40556485000002</v>
      </c>
      <c r="J23" s="31">
        <f t="shared" si="3"/>
        <v>-2.398151503334146</v>
      </c>
      <c r="O23" s="69">
        <v>948305314.91</v>
      </c>
    </row>
    <row r="24" spans="1:15" ht="23.25">
      <c r="A24" s="19">
        <v>18</v>
      </c>
      <c r="B24" s="20" t="s">
        <v>26</v>
      </c>
      <c r="C24" s="29">
        <v>33</v>
      </c>
      <c r="D24" s="30">
        <f>761299882.44/1000000</f>
        <v>761.29988244</v>
      </c>
      <c r="E24" s="23">
        <f t="shared" si="0"/>
        <v>0.544919547614117</v>
      </c>
      <c r="F24" s="24">
        <v>34</v>
      </c>
      <c r="G24" s="25">
        <v>822.5702517999999</v>
      </c>
      <c r="H24" s="23">
        <f t="shared" si="1"/>
        <v>0.5954353055590301</v>
      </c>
      <c r="I24" s="27">
        <f t="shared" si="2"/>
        <v>-61.270369359999904</v>
      </c>
      <c r="J24" s="31">
        <f t="shared" si="3"/>
        <v>-7.448648820684219</v>
      </c>
      <c r="O24" s="69">
        <v>739942</v>
      </c>
    </row>
    <row r="25" spans="1:15" ht="23.25">
      <c r="A25" s="38">
        <v>19</v>
      </c>
      <c r="B25" s="20" t="s">
        <v>28</v>
      </c>
      <c r="C25" s="29">
        <v>86</v>
      </c>
      <c r="D25" s="30">
        <f>616119741.53/1000000</f>
        <v>616.1197415299999</v>
      </c>
      <c r="E25" s="23">
        <f t="shared" si="0"/>
        <v>0.44100320855771896</v>
      </c>
      <c r="F25" s="24">
        <v>162</v>
      </c>
      <c r="G25" s="25">
        <v>902.8818389099999</v>
      </c>
      <c r="H25" s="23">
        <f t="shared" si="1"/>
        <v>0.6535705886015788</v>
      </c>
      <c r="I25" s="27">
        <f t="shared" si="2"/>
        <v>-286.76209738</v>
      </c>
      <c r="J25" s="31">
        <f t="shared" si="3"/>
        <v>-31.760755950766743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f>180859687.31/1000000</f>
        <v>180.85968731</v>
      </c>
      <c r="E26" s="23">
        <f t="shared" si="0"/>
        <v>0.12945487220453253</v>
      </c>
      <c r="F26" s="63">
        <v>4</v>
      </c>
      <c r="G26" s="25">
        <v>180.44381543</v>
      </c>
      <c r="H26" s="23">
        <f t="shared" si="1"/>
        <v>0.13061816682731547</v>
      </c>
      <c r="I26" s="27">
        <f t="shared" si="2"/>
        <v>0.4158718799999974</v>
      </c>
      <c r="J26" s="31">
        <f t="shared" si="3"/>
        <v>0.23047167286336148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7</v>
      </c>
      <c r="D27" s="30">
        <f>124.59</f>
        <v>124.59</v>
      </c>
      <c r="E27" s="23">
        <f t="shared" si="0"/>
        <v>0.08917842758578587</v>
      </c>
      <c r="F27" s="24">
        <v>1</v>
      </c>
      <c r="G27" s="25">
        <v>7.71</v>
      </c>
      <c r="H27" s="42">
        <f t="shared" si="1"/>
        <v>0.005581050610345112</v>
      </c>
      <c r="I27" s="27">
        <f t="shared" si="2"/>
        <v>116.88000000000001</v>
      </c>
      <c r="J27" s="31">
        <f t="shared" si="3"/>
        <v>1515.9533073929963</v>
      </c>
      <c r="O27" s="69">
        <v>135737812</v>
      </c>
    </row>
    <row r="28" spans="1:10" ht="23.25">
      <c r="A28" s="38">
        <v>22</v>
      </c>
      <c r="B28" s="20" t="s">
        <v>49</v>
      </c>
      <c r="C28" s="40">
        <v>1</v>
      </c>
      <c r="D28" s="30">
        <f>1021629.9166/1000000</f>
        <v>1.0216299166</v>
      </c>
      <c r="E28" s="23">
        <f t="shared" si="0"/>
        <v>0.0007312573203064897</v>
      </c>
      <c r="F28" s="24">
        <v>1</v>
      </c>
      <c r="G28" s="25">
        <v>1.01660255</v>
      </c>
      <c r="H28" s="42">
        <f t="shared" si="1"/>
        <v>0.000735889790162892</v>
      </c>
      <c r="I28" s="27">
        <f t="shared" si="2"/>
        <v>0.005027366600000027</v>
      </c>
      <c r="J28" s="31">
        <f t="shared" si="3"/>
        <v>0.49452626299235897</v>
      </c>
    </row>
    <row r="29" spans="1:10" ht="23.25">
      <c r="A29" s="38">
        <v>23</v>
      </c>
      <c r="B29" s="20" t="s">
        <v>85</v>
      </c>
      <c r="C29" s="33"/>
      <c r="D29" s="39"/>
      <c r="E29" s="23">
        <f t="shared" si="0"/>
        <v>0</v>
      </c>
      <c r="F29" s="24"/>
      <c r="G29" s="25"/>
      <c r="H29" s="42">
        <f t="shared" si="1"/>
        <v>0</v>
      </c>
      <c r="I29" s="27">
        <f t="shared" si="2"/>
        <v>0</v>
      </c>
      <c r="J29" s="31">
        <v>0</v>
      </c>
    </row>
    <row r="30" spans="1:10" ht="23.25">
      <c r="A30" s="38">
        <v>24</v>
      </c>
      <c r="B30" s="20" t="s">
        <v>33</v>
      </c>
      <c r="C30" s="40"/>
      <c r="D30" s="30"/>
      <c r="E30" s="23">
        <f t="shared" si="0"/>
        <v>0</v>
      </c>
      <c r="F30" s="24"/>
      <c r="G30" s="25"/>
      <c r="H30" s="42">
        <f t="shared" si="1"/>
        <v>0</v>
      </c>
      <c r="I30" s="27">
        <f t="shared" si="2"/>
        <v>0</v>
      </c>
      <c r="J30" s="31">
        <v>0</v>
      </c>
    </row>
    <row r="31" spans="1:10" ht="23.25">
      <c r="A31" s="38">
        <v>25</v>
      </c>
      <c r="B31" s="20" t="s">
        <v>31</v>
      </c>
      <c r="C31" s="33"/>
      <c r="D31" s="39"/>
      <c r="E31" s="23">
        <f t="shared" si="0"/>
        <v>0</v>
      </c>
      <c r="F31" s="24"/>
      <c r="G31" s="25"/>
      <c r="H31" s="42">
        <f t="shared" si="1"/>
        <v>0</v>
      </c>
      <c r="I31" s="27">
        <f t="shared" si="2"/>
        <v>0</v>
      </c>
      <c r="J31" s="31">
        <v>0</v>
      </c>
    </row>
    <row r="32" spans="1:10" ht="24" thickBot="1">
      <c r="A32" s="38">
        <v>26</v>
      </c>
      <c r="B32" s="20" t="s">
        <v>60</v>
      </c>
      <c r="C32" s="40"/>
      <c r="D32" s="41"/>
      <c r="E32" s="23">
        <f t="shared" si="0"/>
        <v>0</v>
      </c>
      <c r="F32" s="24"/>
      <c r="G32" s="25"/>
      <c r="H32" s="42">
        <f t="shared" si="1"/>
        <v>0</v>
      </c>
      <c r="I32" s="27">
        <f t="shared" si="2"/>
        <v>0</v>
      </c>
      <c r="J32" s="31">
        <v>0</v>
      </c>
    </row>
    <row r="33" spans="1:11" ht="24" thickBot="1">
      <c r="A33" s="72" t="s">
        <v>36</v>
      </c>
      <c r="B33" s="73"/>
      <c r="C33" s="43">
        <f aca="true" t="shared" si="4" ref="C33:I33">SUM(C7:C32)</f>
        <v>1391</v>
      </c>
      <c r="D33" s="44">
        <f t="shared" si="4"/>
        <v>139708.67548673664</v>
      </c>
      <c r="E33" s="45">
        <f t="shared" si="4"/>
        <v>99.99999999999996</v>
      </c>
      <c r="F33" s="43">
        <f t="shared" si="4"/>
        <v>1471</v>
      </c>
      <c r="G33" s="46">
        <f t="shared" si="4"/>
        <v>138146.03267901993</v>
      </c>
      <c r="H33" s="47">
        <f t="shared" si="4"/>
        <v>100.00000000000007</v>
      </c>
      <c r="I33" s="48">
        <f t="shared" si="4"/>
        <v>1562.6428077166054</v>
      </c>
      <c r="J33" s="65">
        <f>(D33-G33)/G33*100</f>
        <v>1.1311528658571635</v>
      </c>
      <c r="K33" s="50"/>
    </row>
    <row r="34" spans="1:11" ht="5.25" customHeight="1">
      <c r="A34" s="51"/>
      <c r="B34" s="52"/>
      <c r="C34" s="53"/>
      <c r="D34" s="54"/>
      <c r="E34" s="55"/>
      <c r="F34" s="53"/>
      <c r="G34" s="54"/>
      <c r="H34" s="55"/>
      <c r="I34" s="56"/>
      <c r="J34" s="57"/>
      <c r="K34" s="50"/>
    </row>
    <row r="35" spans="2:10" ht="21">
      <c r="B35" s="58" t="s">
        <v>86</v>
      </c>
      <c r="H35" s="59" t="s">
        <v>37</v>
      </c>
      <c r="J35" s="60"/>
    </row>
    <row r="36" spans="2:10" ht="21">
      <c r="B36" s="61" t="s">
        <v>40</v>
      </c>
      <c r="H36" s="59" t="s">
        <v>39</v>
      </c>
      <c r="J36" s="60"/>
    </row>
    <row r="37" spans="8:10" ht="21">
      <c r="H37" s="59"/>
      <c r="J37" s="60"/>
    </row>
    <row r="38" spans="8:10" ht="21">
      <c r="H38" s="59"/>
      <c r="J38" s="60"/>
    </row>
    <row r="40" ht="21">
      <c r="F40" s="62"/>
    </row>
    <row r="41" ht="21" hidden="1"/>
  </sheetData>
  <mergeCells count="6">
    <mergeCell ref="A33:B33"/>
    <mergeCell ref="A1:J1"/>
    <mergeCell ref="A2:J2"/>
    <mergeCell ref="C4:E4"/>
    <mergeCell ref="F4:H4"/>
    <mergeCell ref="I4:J4"/>
  </mergeCells>
  <printOptions/>
  <pageMargins left="1.3779527559055118" right="1.3779527559055118" top="0.11811023622047245" bottom="0.11811023622047245" header="0.5118110236220472" footer="0.511811023622047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25">
      <selection activeCell="A25" sqref="A2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87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0" ht="22.5" customHeight="1" thickBot="1">
      <c r="A4" s="5"/>
      <c r="B4" s="6"/>
      <c r="C4" s="76" t="s">
        <v>88</v>
      </c>
      <c r="D4" s="77"/>
      <c r="E4" s="78"/>
      <c r="F4" s="76" t="s">
        <v>84</v>
      </c>
      <c r="G4" s="77"/>
      <c r="H4" s="78"/>
      <c r="I4" s="79" t="s">
        <v>4</v>
      </c>
      <c r="J4" s="78"/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0" ht="23.25">
      <c r="A7" s="19">
        <v>1</v>
      </c>
      <c r="B7" s="20" t="s">
        <v>13</v>
      </c>
      <c r="C7" s="21">
        <v>222</v>
      </c>
      <c r="D7" s="30">
        <f>41605608847.26/1000000</f>
        <v>41605.60884726</v>
      </c>
      <c r="E7" s="23">
        <f aca="true" t="shared" si="0" ref="E7:E31">(D7/$D$32)*100</f>
        <v>29.187293814553573</v>
      </c>
      <c r="F7" s="24">
        <v>224</v>
      </c>
      <c r="G7" s="25">
        <v>40017.16024961</v>
      </c>
      <c r="H7" s="26">
        <f aca="true" t="shared" si="1" ref="H7:H31">(G7/$G$32)*100</f>
        <v>28.544138919607416</v>
      </c>
      <c r="I7" s="27">
        <f aca="true" t="shared" si="2" ref="I7:I31">(D7-G7)</f>
        <v>1588.44859765</v>
      </c>
      <c r="J7" s="28">
        <f aca="true" t="shared" si="3" ref="J7:J30">(D7-G7)/G7*100</f>
        <v>3.9694185887802482</v>
      </c>
    </row>
    <row r="8" spans="1:10" ht="23.25">
      <c r="A8" s="19">
        <v>2</v>
      </c>
      <c r="B8" s="20" t="s">
        <v>14</v>
      </c>
      <c r="C8" s="29">
        <v>117</v>
      </c>
      <c r="D8" s="30">
        <f>20843479367.66/1000000</f>
        <v>20843.47936766</v>
      </c>
      <c r="E8" s="23">
        <f t="shared" si="0"/>
        <v>14.622181318265756</v>
      </c>
      <c r="F8" s="24">
        <v>118</v>
      </c>
      <c r="G8" s="25">
        <v>20713.23027501</v>
      </c>
      <c r="H8" s="23">
        <f t="shared" si="1"/>
        <v>14.774694624900716</v>
      </c>
      <c r="I8" s="27">
        <f t="shared" si="2"/>
        <v>130.2490926499995</v>
      </c>
      <c r="J8" s="31">
        <f t="shared" si="3"/>
        <v>0.6288207629649241</v>
      </c>
    </row>
    <row r="9" spans="1:10" ht="23.25">
      <c r="A9" s="19">
        <v>3</v>
      </c>
      <c r="B9" s="20" t="s">
        <v>15</v>
      </c>
      <c r="C9" s="21">
        <v>39</v>
      </c>
      <c r="D9" s="30">
        <v>16991.563709590002</v>
      </c>
      <c r="E9" s="23">
        <f t="shared" si="0"/>
        <v>11.919973679057696</v>
      </c>
      <c r="F9" s="24">
        <v>40</v>
      </c>
      <c r="G9" s="25">
        <v>16681.717684209998</v>
      </c>
      <c r="H9" s="23">
        <f t="shared" si="1"/>
        <v>11.89902691809328</v>
      </c>
      <c r="I9" s="27">
        <f t="shared" si="2"/>
        <v>309.846025380004</v>
      </c>
      <c r="J9" s="31">
        <f t="shared" si="3"/>
        <v>1.8573988077575927</v>
      </c>
    </row>
    <row r="10" spans="1:10" ht="23.25">
      <c r="A10" s="19">
        <v>4</v>
      </c>
      <c r="B10" s="20" t="s">
        <v>16</v>
      </c>
      <c r="C10" s="21">
        <v>50</v>
      </c>
      <c r="D10" s="30">
        <f>15330142838.78/1000000</f>
        <v>15330.14283878</v>
      </c>
      <c r="E10" s="23">
        <f t="shared" si="0"/>
        <v>10.754448634490139</v>
      </c>
      <c r="F10" s="24">
        <v>50</v>
      </c>
      <c r="G10" s="25">
        <v>15091.35800061</v>
      </c>
      <c r="H10" s="23">
        <f t="shared" si="1"/>
        <v>10.764627389049647</v>
      </c>
      <c r="I10" s="27">
        <f t="shared" si="2"/>
        <v>238.7848381700005</v>
      </c>
      <c r="J10" s="31">
        <f t="shared" si="3"/>
        <v>1.582262101000776</v>
      </c>
    </row>
    <row r="11" spans="1:10" ht="23.25">
      <c r="A11" s="19">
        <v>5</v>
      </c>
      <c r="B11" s="20" t="s">
        <v>20</v>
      </c>
      <c r="C11" s="29">
        <v>411</v>
      </c>
      <c r="D11" s="30">
        <v>7983.35</v>
      </c>
      <c r="E11" s="23">
        <f t="shared" si="0"/>
        <v>5.60050407938596</v>
      </c>
      <c r="F11" s="24">
        <v>408</v>
      </c>
      <c r="G11" s="25">
        <v>7626.81</v>
      </c>
      <c r="H11" s="23">
        <f t="shared" si="1"/>
        <v>5.44018423085313</v>
      </c>
      <c r="I11" s="27">
        <f t="shared" si="2"/>
        <v>356.53999999999996</v>
      </c>
      <c r="J11" s="31">
        <f t="shared" si="3"/>
        <v>4.674824730129634</v>
      </c>
    </row>
    <row r="12" spans="1:10" ht="23.25">
      <c r="A12" s="19">
        <v>6</v>
      </c>
      <c r="B12" s="20" t="s">
        <v>17</v>
      </c>
      <c r="C12" s="29">
        <v>124</v>
      </c>
      <c r="D12" s="30">
        <f>7776.88</f>
        <v>7776.88</v>
      </c>
      <c r="E12" s="23">
        <f t="shared" si="0"/>
        <v>5.455660614265326</v>
      </c>
      <c r="F12" s="24">
        <v>124</v>
      </c>
      <c r="G12" s="25">
        <v>7502.26</v>
      </c>
      <c r="H12" s="23">
        <f t="shared" si="1"/>
        <v>5.351343031721021</v>
      </c>
      <c r="I12" s="27">
        <f t="shared" si="2"/>
        <v>274.6199999999999</v>
      </c>
      <c r="J12" s="31">
        <f t="shared" si="3"/>
        <v>3.6604969702462977</v>
      </c>
    </row>
    <row r="13" spans="1:10" ht="23.25">
      <c r="A13" s="19">
        <v>7</v>
      </c>
      <c r="B13" s="32" t="s">
        <v>19</v>
      </c>
      <c r="C13" s="33">
        <v>10</v>
      </c>
      <c r="D13" s="30">
        <f>6873497.62/1000</f>
        <v>6873.49762</v>
      </c>
      <c r="E13" s="23">
        <f t="shared" si="0"/>
        <v>4.821917047412389</v>
      </c>
      <c r="F13" s="24">
        <v>10</v>
      </c>
      <c r="G13" s="25">
        <v>6803.3091699999995</v>
      </c>
      <c r="H13" s="23">
        <f t="shared" si="1"/>
        <v>4.852783177272345</v>
      </c>
      <c r="I13" s="27">
        <f t="shared" si="2"/>
        <v>70.18845000000056</v>
      </c>
      <c r="J13" s="31">
        <f t="shared" si="3"/>
        <v>1.0316810282487952</v>
      </c>
    </row>
    <row r="14" spans="1:10" ht="23.25">
      <c r="A14" s="19">
        <v>8</v>
      </c>
      <c r="B14" s="32" t="s">
        <v>23</v>
      </c>
      <c r="C14" s="33">
        <v>21</v>
      </c>
      <c r="D14" s="30">
        <f>5509140935.96/1000000</f>
        <v>5509.14093596</v>
      </c>
      <c r="E14" s="23">
        <f t="shared" si="0"/>
        <v>3.864789378613761</v>
      </c>
      <c r="F14" s="24">
        <v>23</v>
      </c>
      <c r="G14" s="25">
        <v>5292.59982488</v>
      </c>
      <c r="H14" s="23">
        <f t="shared" si="1"/>
        <v>3.7751980326674204</v>
      </c>
      <c r="I14" s="27">
        <f t="shared" si="2"/>
        <v>216.54111108000052</v>
      </c>
      <c r="J14" s="31">
        <f t="shared" si="3"/>
        <v>4.091393988679471</v>
      </c>
    </row>
    <row r="15" spans="1:10" ht="23.25">
      <c r="A15" s="19">
        <v>9</v>
      </c>
      <c r="B15" s="20" t="s">
        <v>18</v>
      </c>
      <c r="C15" s="29">
        <v>59</v>
      </c>
      <c r="D15" s="30">
        <f>3814211197.04/1000000</f>
        <v>3814.21119704</v>
      </c>
      <c r="E15" s="23">
        <f t="shared" si="0"/>
        <v>2.675757090527426</v>
      </c>
      <c r="F15" s="24">
        <v>60</v>
      </c>
      <c r="G15" s="25">
        <v>3646.58082382</v>
      </c>
      <c r="H15" s="23">
        <f t="shared" si="1"/>
        <v>2.601096853635659</v>
      </c>
      <c r="I15" s="27">
        <f t="shared" si="2"/>
        <v>167.6303732199999</v>
      </c>
      <c r="J15" s="31">
        <f t="shared" si="3"/>
        <v>4.596919177685951</v>
      </c>
    </row>
    <row r="16" spans="1:10" ht="23.25">
      <c r="A16" s="19">
        <v>10</v>
      </c>
      <c r="B16" s="20" t="s">
        <v>44</v>
      </c>
      <c r="C16" s="21">
        <v>2</v>
      </c>
      <c r="D16" s="22">
        <f>(2654896115.1+2262924.95)/1000000</f>
        <v>2657.15904005</v>
      </c>
      <c r="E16" s="23">
        <f t="shared" si="0"/>
        <v>1.8640583268148467</v>
      </c>
      <c r="F16" s="24">
        <v>2</v>
      </c>
      <c r="G16" s="25">
        <v>3024.4390529899997</v>
      </c>
      <c r="H16" s="23">
        <f t="shared" si="1"/>
        <v>2.157324706299563</v>
      </c>
      <c r="I16" s="27">
        <f t="shared" si="2"/>
        <v>-367.2800129399998</v>
      </c>
      <c r="J16" s="31">
        <f t="shared" si="3"/>
        <v>-12.143739930117023</v>
      </c>
    </row>
    <row r="17" spans="1:10" ht="23.25">
      <c r="A17" s="19">
        <v>11</v>
      </c>
      <c r="B17" s="20" t="s">
        <v>21</v>
      </c>
      <c r="C17" s="40">
        <v>54</v>
      </c>
      <c r="D17" s="30">
        <f>2104611523.18/1000000</f>
        <v>2104.61152318</v>
      </c>
      <c r="E17" s="23">
        <f t="shared" si="0"/>
        <v>1.4764335048685437</v>
      </c>
      <c r="F17" s="24">
        <v>55</v>
      </c>
      <c r="G17" s="25">
        <v>2085.13346077</v>
      </c>
      <c r="H17" s="23">
        <f t="shared" si="1"/>
        <v>1.4873204095165826</v>
      </c>
      <c r="I17" s="27">
        <f t="shared" si="2"/>
        <v>19.478062409999893</v>
      </c>
      <c r="J17" s="31">
        <f t="shared" si="3"/>
        <v>0.934139841715792</v>
      </c>
    </row>
    <row r="18" spans="1:10" ht="23.25">
      <c r="A18" s="19">
        <v>12</v>
      </c>
      <c r="B18" s="20" t="s">
        <v>58</v>
      </c>
      <c r="C18" s="29">
        <v>56</v>
      </c>
      <c r="D18" s="30">
        <f>2014.82</f>
        <v>2014.82</v>
      </c>
      <c r="E18" s="23">
        <f t="shared" si="0"/>
        <v>1.4134426812338705</v>
      </c>
      <c r="F18" s="24">
        <v>58</v>
      </c>
      <c r="G18" s="25">
        <v>2508.36</v>
      </c>
      <c r="H18" s="23">
        <f t="shared" si="1"/>
        <v>1.7892068266159453</v>
      </c>
      <c r="I18" s="27">
        <f t="shared" si="2"/>
        <v>-493.5400000000002</v>
      </c>
      <c r="J18" s="31">
        <f t="shared" si="3"/>
        <v>-19.675804111052646</v>
      </c>
    </row>
    <row r="19" spans="1:10" ht="23.25">
      <c r="A19" s="19">
        <v>13</v>
      </c>
      <c r="B19" s="20" t="s">
        <v>32</v>
      </c>
      <c r="C19" s="21">
        <v>49</v>
      </c>
      <c r="D19" s="30">
        <v>1705.3</v>
      </c>
      <c r="E19" s="23">
        <f t="shared" si="0"/>
        <v>1.1963072653180529</v>
      </c>
      <c r="F19" s="24">
        <v>7</v>
      </c>
      <c r="G19" s="25">
        <v>124.59</v>
      </c>
      <c r="H19" s="23">
        <f t="shared" si="1"/>
        <v>0.08886973103066569</v>
      </c>
      <c r="I19" s="27">
        <f t="shared" si="2"/>
        <v>1580.71</v>
      </c>
      <c r="J19" s="31">
        <f t="shared" si="3"/>
        <v>1268.729432538727</v>
      </c>
    </row>
    <row r="20" spans="1:10" ht="23.25">
      <c r="A20" s="19">
        <v>14</v>
      </c>
      <c r="B20" s="20" t="s">
        <v>43</v>
      </c>
      <c r="C20" s="29">
        <v>2</v>
      </c>
      <c r="D20" s="30">
        <f>1433075522.11/1000000</f>
        <v>1433.0755221099998</v>
      </c>
      <c r="E20" s="23">
        <f t="shared" si="0"/>
        <v>1.0053355180024952</v>
      </c>
      <c r="F20" s="24">
        <v>2</v>
      </c>
      <c r="G20" s="25">
        <v>1534.6059058199999</v>
      </c>
      <c r="H20" s="23">
        <f t="shared" si="1"/>
        <v>1.094630500748812</v>
      </c>
      <c r="I20" s="27">
        <f t="shared" si="2"/>
        <v>-101.53038371000002</v>
      </c>
      <c r="J20" s="31">
        <f t="shared" si="3"/>
        <v>-6.616055843715027</v>
      </c>
    </row>
    <row r="21" spans="1:10" ht="23.25">
      <c r="A21" s="36">
        <v>15</v>
      </c>
      <c r="B21" s="20" t="s">
        <v>25</v>
      </c>
      <c r="C21" s="29">
        <v>3</v>
      </c>
      <c r="D21" s="30">
        <f>1297155315.41/1000000</f>
        <v>1297.1553154100002</v>
      </c>
      <c r="E21" s="23">
        <f t="shared" si="0"/>
        <v>0.9099843593918453</v>
      </c>
      <c r="F21" s="24">
        <v>4</v>
      </c>
      <c r="G21" s="25">
        <v>1293.4194686199999</v>
      </c>
      <c r="H21" s="23">
        <f t="shared" si="1"/>
        <v>0.9225928267604618</v>
      </c>
      <c r="I21" s="27">
        <f t="shared" si="2"/>
        <v>3.7358467900003234</v>
      </c>
      <c r="J21" s="31">
        <f t="shared" si="3"/>
        <v>0.28883489700261317</v>
      </c>
    </row>
    <row r="22" spans="1:10" ht="23.25">
      <c r="A22" s="19">
        <v>16</v>
      </c>
      <c r="B22" s="20" t="s">
        <v>75</v>
      </c>
      <c r="C22" s="21">
        <v>13</v>
      </c>
      <c r="D22" s="22">
        <f>919837636.96/1000000</f>
        <v>919.83763696</v>
      </c>
      <c r="E22" s="23">
        <f t="shared" si="0"/>
        <v>0.6452873089827231</v>
      </c>
      <c r="F22" s="63">
        <v>13</v>
      </c>
      <c r="G22" s="25">
        <v>911.87922987</v>
      </c>
      <c r="H22" s="23">
        <f t="shared" si="1"/>
        <v>0.6504411420739825</v>
      </c>
      <c r="I22" s="27">
        <f t="shared" si="2"/>
        <v>7.958407090000037</v>
      </c>
      <c r="J22" s="31">
        <f t="shared" si="3"/>
        <v>0.8727479285973658</v>
      </c>
    </row>
    <row r="23" spans="1:10" ht="23.25">
      <c r="A23" s="19">
        <v>17</v>
      </c>
      <c r="B23" s="32" t="s">
        <v>26</v>
      </c>
      <c r="C23" s="29">
        <v>34</v>
      </c>
      <c r="D23" s="30">
        <f>896909742.13/1000000</f>
        <v>896.90974213</v>
      </c>
      <c r="E23" s="23">
        <f t="shared" si="0"/>
        <v>0.6292028621618838</v>
      </c>
      <c r="F23" s="24">
        <v>33</v>
      </c>
      <c r="G23" s="25">
        <v>761.29988244</v>
      </c>
      <c r="H23" s="23">
        <f t="shared" si="1"/>
        <v>0.5430332754323799</v>
      </c>
      <c r="I23" s="27">
        <f t="shared" si="2"/>
        <v>135.60985969</v>
      </c>
      <c r="J23" s="31">
        <f t="shared" si="3"/>
        <v>17.812935850635412</v>
      </c>
    </row>
    <row r="24" spans="1:10" ht="23.25">
      <c r="A24" s="19">
        <v>18</v>
      </c>
      <c r="B24" s="20" t="s">
        <v>24</v>
      </c>
      <c r="C24" s="29">
        <v>6</v>
      </c>
      <c r="D24" s="30">
        <f>874501393.1/1000000</f>
        <v>874.5013931</v>
      </c>
      <c r="E24" s="23">
        <f t="shared" si="0"/>
        <v>0.6134828886977591</v>
      </c>
      <c r="F24" s="24">
        <v>23</v>
      </c>
      <c r="G24" s="25">
        <v>1390.58021439</v>
      </c>
      <c r="H24" s="23">
        <f t="shared" si="1"/>
        <v>0.9918973403114595</v>
      </c>
      <c r="I24" s="27">
        <f t="shared" si="2"/>
        <v>-516.0788212900001</v>
      </c>
      <c r="J24" s="31">
        <f t="shared" si="3"/>
        <v>-37.11248124700136</v>
      </c>
    </row>
    <row r="25" spans="1:10" ht="23.25">
      <c r="A25" s="38">
        <v>19</v>
      </c>
      <c r="B25" s="20" t="s">
        <v>30</v>
      </c>
      <c r="C25" s="21">
        <v>19</v>
      </c>
      <c r="D25" s="30">
        <f>623324810.21/1000000</f>
        <v>623.32481021</v>
      </c>
      <c r="E25" s="23">
        <f t="shared" si="0"/>
        <v>0.4372767249793113</v>
      </c>
      <c r="F25" s="24">
        <v>46</v>
      </c>
      <c r="G25" s="25">
        <v>1901.34118494</v>
      </c>
      <c r="H25" s="23">
        <f t="shared" si="1"/>
        <v>1.3562218452776709</v>
      </c>
      <c r="I25" s="27">
        <f t="shared" si="2"/>
        <v>-1278.0163747299998</v>
      </c>
      <c r="J25" s="31">
        <f t="shared" si="3"/>
        <v>-67.21657243070395</v>
      </c>
    </row>
    <row r="26" spans="1:10" ht="23.25">
      <c r="A26" s="38">
        <v>20</v>
      </c>
      <c r="B26" s="20" t="s">
        <v>28</v>
      </c>
      <c r="C26" s="33">
        <v>87</v>
      </c>
      <c r="D26" s="30">
        <f>619314984.21/1000000</f>
        <v>619.31498421</v>
      </c>
      <c r="E26" s="23">
        <f t="shared" si="0"/>
        <v>0.4344637395946509</v>
      </c>
      <c r="F26" s="24">
        <v>86</v>
      </c>
      <c r="G26" s="25">
        <v>616.1197415299999</v>
      </c>
      <c r="H26" s="23">
        <f t="shared" si="1"/>
        <v>0.4394766491087115</v>
      </c>
      <c r="I26" s="27">
        <f t="shared" si="2"/>
        <v>3.195242680000092</v>
      </c>
      <c r="J26" s="31">
        <f t="shared" si="3"/>
        <v>0.5186074174583984</v>
      </c>
    </row>
    <row r="27" spans="1:10" ht="23.25">
      <c r="A27" s="38">
        <v>21</v>
      </c>
      <c r="B27" s="20" t="s">
        <v>85</v>
      </c>
      <c r="C27" s="33">
        <v>6</v>
      </c>
      <c r="D27" s="30">
        <f>306406744.74/1000000</f>
        <v>306.40674474</v>
      </c>
      <c r="E27" s="23">
        <f t="shared" si="0"/>
        <v>0.21495139557550935</v>
      </c>
      <c r="F27" s="24">
        <v>4</v>
      </c>
      <c r="G27" s="25">
        <f>314695440.07/1000000</f>
        <v>314.69544007</v>
      </c>
      <c r="H27" s="42">
        <f t="shared" si="1"/>
        <v>0.22447145931132415</v>
      </c>
      <c r="I27" s="27">
        <f t="shared" si="2"/>
        <v>-8.288695329999996</v>
      </c>
      <c r="J27" s="31">
        <f t="shared" si="3"/>
        <v>-2.6338784343860464</v>
      </c>
    </row>
    <row r="28" spans="1:10" ht="23.25">
      <c r="A28" s="38">
        <v>22</v>
      </c>
      <c r="B28" s="20" t="s">
        <v>59</v>
      </c>
      <c r="C28" s="40">
        <v>4</v>
      </c>
      <c r="D28" s="30">
        <f>188660705.34/1000000</f>
        <v>188.66070534</v>
      </c>
      <c r="E28" s="23">
        <f t="shared" si="0"/>
        <v>0.13234983432725642</v>
      </c>
      <c r="F28" s="63">
        <v>4</v>
      </c>
      <c r="G28" s="25">
        <v>180.85968731</v>
      </c>
      <c r="H28" s="42">
        <f t="shared" si="1"/>
        <v>0.12900675628485433</v>
      </c>
      <c r="I28" s="27">
        <f t="shared" si="2"/>
        <v>7.8010180299999945</v>
      </c>
      <c r="J28" s="31">
        <f t="shared" si="3"/>
        <v>4.313298417147415</v>
      </c>
    </row>
    <row r="29" spans="1:10" ht="23.25">
      <c r="A29" s="38">
        <v>23</v>
      </c>
      <c r="B29" s="20" t="s">
        <v>48</v>
      </c>
      <c r="C29" s="40">
        <v>2</v>
      </c>
      <c r="D29" s="41">
        <f>175969109.18/1000000</f>
        <v>175.96910918</v>
      </c>
      <c r="E29" s="23">
        <f t="shared" si="0"/>
        <v>0.12344638701904632</v>
      </c>
      <c r="F29" s="24">
        <v>2</v>
      </c>
      <c r="G29" s="25">
        <f>170594504.47/1000000</f>
        <v>170.59450447</v>
      </c>
      <c r="H29" s="42">
        <f t="shared" si="1"/>
        <v>0.12168462739833531</v>
      </c>
      <c r="I29" s="27">
        <f t="shared" si="2"/>
        <v>5.37460471</v>
      </c>
      <c r="J29" s="31">
        <f t="shared" si="3"/>
        <v>3.1505145647556043</v>
      </c>
    </row>
    <row r="30" spans="1:10" ht="23.25">
      <c r="A30" s="38">
        <v>24</v>
      </c>
      <c r="B30" s="20" t="s">
        <v>49</v>
      </c>
      <c r="C30" s="40">
        <v>2</v>
      </c>
      <c r="D30" s="39">
        <f>2069135.79/1000000</f>
        <v>2.0691357900000003</v>
      </c>
      <c r="E30" s="23">
        <f t="shared" si="0"/>
        <v>0.0014515464601575145</v>
      </c>
      <c r="F30" s="24">
        <v>1</v>
      </c>
      <c r="G30" s="25">
        <v>1.0216299166</v>
      </c>
      <c r="H30" s="42">
        <f t="shared" si="1"/>
        <v>0.0007287260285827388</v>
      </c>
      <c r="I30" s="27">
        <f t="shared" si="2"/>
        <v>1.0475058734000002</v>
      </c>
      <c r="J30" s="31">
        <f t="shared" si="3"/>
        <v>102.53281118529847</v>
      </c>
    </row>
    <row r="31" spans="1:10" ht="24" thickBot="1">
      <c r="A31" s="38">
        <v>25</v>
      </c>
      <c r="B31" s="20" t="s">
        <v>31</v>
      </c>
      <c r="C31" s="33"/>
      <c r="D31" s="39"/>
      <c r="E31" s="23">
        <f t="shared" si="0"/>
        <v>0</v>
      </c>
      <c r="F31" s="24"/>
      <c r="G31" s="25"/>
      <c r="H31" s="42">
        <f t="shared" si="1"/>
        <v>0</v>
      </c>
      <c r="I31" s="27">
        <f t="shared" si="2"/>
        <v>0</v>
      </c>
      <c r="J31" s="31">
        <v>0</v>
      </c>
    </row>
    <row r="32" spans="1:11" ht="24" thickBot="1">
      <c r="A32" s="72" t="s">
        <v>36</v>
      </c>
      <c r="B32" s="73"/>
      <c r="C32" s="43">
        <f aca="true" t="shared" si="4" ref="C32:I32">SUM(C7:C31)</f>
        <v>1392</v>
      </c>
      <c r="D32" s="44">
        <f t="shared" si="4"/>
        <v>142546.99017870004</v>
      </c>
      <c r="E32" s="45">
        <f t="shared" si="4"/>
        <v>99.99999999999997</v>
      </c>
      <c r="F32" s="43">
        <f t="shared" si="4"/>
        <v>1397</v>
      </c>
      <c r="G32" s="46">
        <f t="shared" si="4"/>
        <v>140193.96543127665</v>
      </c>
      <c r="H32" s="47">
        <f t="shared" si="4"/>
        <v>99.99999999999994</v>
      </c>
      <c r="I32" s="48">
        <f t="shared" si="4"/>
        <v>2353.0247474234047</v>
      </c>
      <c r="J32" s="65">
        <f>(D32-G32)/G32*100</f>
        <v>1.678406584894589</v>
      </c>
      <c r="K32" s="50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86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2:10" ht="21">
      <c r="B36" s="58" t="s">
        <v>89</v>
      </c>
      <c r="H36" s="59"/>
      <c r="J36" s="60"/>
    </row>
    <row r="37" spans="8:10" ht="21">
      <c r="H37" s="59"/>
      <c r="J37" s="60"/>
    </row>
    <row r="39" ht="21">
      <c r="F39" s="62"/>
    </row>
    <row r="40" ht="21" hidden="1"/>
  </sheetData>
  <mergeCells count="6">
    <mergeCell ref="A32:B32"/>
    <mergeCell ref="F4:H4"/>
    <mergeCell ref="A1:J1"/>
    <mergeCell ref="A2:J2"/>
    <mergeCell ref="C4:E4"/>
    <mergeCell ref="I4:J4"/>
  </mergeCells>
  <printOptions horizontalCentered="1" verticalCentered="1"/>
  <pageMargins left="0.1968503937007874" right="0.1968503937007874" top="0.17" bottom="0.07874015748031496" header="0.4330708661417323" footer="0.1574803149606299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26">
      <selection activeCell="B35" sqref="B35"/>
    </sheetView>
  </sheetViews>
  <sheetFormatPr defaultColWidth="9.140625" defaultRowHeight="21.75"/>
  <cols>
    <col min="1" max="1" width="6.57421875" style="1" customWidth="1"/>
    <col min="2" max="2" width="53.421875" style="58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41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0" ht="22.5" customHeight="1" thickBot="1">
      <c r="A4" s="5"/>
      <c r="B4" s="6"/>
      <c r="C4" s="76" t="s">
        <v>42</v>
      </c>
      <c r="D4" s="77"/>
      <c r="E4" s="78"/>
      <c r="F4" s="76" t="s">
        <v>2</v>
      </c>
      <c r="G4" s="77"/>
      <c r="H4" s="78"/>
      <c r="I4" s="79" t="s">
        <v>4</v>
      </c>
      <c r="J4" s="78"/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0" ht="23.25">
      <c r="A7" s="19">
        <v>1</v>
      </c>
      <c r="B7" s="20" t="s">
        <v>13</v>
      </c>
      <c r="C7" s="21">
        <v>242</v>
      </c>
      <c r="D7" s="22">
        <v>37883.251200470004</v>
      </c>
      <c r="E7" s="23">
        <v>27.878572684307052</v>
      </c>
      <c r="F7" s="24">
        <v>245</v>
      </c>
      <c r="G7" s="25">
        <v>38174.68426536</v>
      </c>
      <c r="H7" s="26">
        <v>28.469321070225956</v>
      </c>
      <c r="I7" s="27">
        <f aca="true" t="shared" si="0" ref="I7:I29">(D7-G7)</f>
        <v>-291.4330648899995</v>
      </c>
      <c r="J7" s="28">
        <f aca="true" t="shared" si="1" ref="J7:J28">(D7-G7)/G7*100</f>
        <v>-0.7634197125618353</v>
      </c>
    </row>
    <row r="8" spans="1:10" ht="23.25">
      <c r="A8" s="19">
        <v>2</v>
      </c>
      <c r="B8" s="20" t="s">
        <v>14</v>
      </c>
      <c r="C8" s="29">
        <v>83</v>
      </c>
      <c r="D8" s="30">
        <v>18608.975042060003</v>
      </c>
      <c r="E8" s="23">
        <v>13.694486266376451</v>
      </c>
      <c r="F8" s="24">
        <v>80</v>
      </c>
      <c r="G8" s="25">
        <v>18458.15987104</v>
      </c>
      <c r="H8" s="23">
        <v>13.765438793976696</v>
      </c>
      <c r="I8" s="27">
        <f t="shared" si="0"/>
        <v>150.81517102000362</v>
      </c>
      <c r="J8" s="31">
        <f t="shared" si="1"/>
        <v>0.8170650383011671</v>
      </c>
    </row>
    <row r="9" spans="1:10" ht="23.25">
      <c r="A9" s="19">
        <v>3</v>
      </c>
      <c r="B9" s="20" t="s">
        <v>15</v>
      </c>
      <c r="C9" s="21">
        <v>43</v>
      </c>
      <c r="D9" s="22">
        <v>16908.851749780002</v>
      </c>
      <c r="E9" s="23">
        <v>12.443352605083847</v>
      </c>
      <c r="F9" s="24">
        <v>45</v>
      </c>
      <c r="G9" s="25">
        <v>16900.2888718</v>
      </c>
      <c r="H9" s="23">
        <v>12.60363403993968</v>
      </c>
      <c r="I9" s="27">
        <f t="shared" si="0"/>
        <v>8.562877980002668</v>
      </c>
      <c r="J9" s="31">
        <f t="shared" si="1"/>
        <v>0.05066705098923355</v>
      </c>
    </row>
    <row r="10" spans="1:10" ht="23.25">
      <c r="A10" s="19">
        <v>4</v>
      </c>
      <c r="B10" s="20" t="s">
        <v>16</v>
      </c>
      <c r="C10" s="21">
        <v>50</v>
      </c>
      <c r="D10" s="22">
        <v>14619.153740920001</v>
      </c>
      <c r="E10" s="23">
        <v>10.758346425774594</v>
      </c>
      <c r="F10" s="24">
        <v>53</v>
      </c>
      <c r="G10" s="25">
        <v>14601.82826777</v>
      </c>
      <c r="H10" s="23">
        <v>10.889523912700923</v>
      </c>
      <c r="I10" s="27">
        <f t="shared" si="0"/>
        <v>17.325473150000107</v>
      </c>
      <c r="J10" s="31">
        <f t="shared" si="1"/>
        <v>0.11865276616245304</v>
      </c>
    </row>
    <row r="11" spans="1:10" ht="23.25">
      <c r="A11" s="19">
        <v>5</v>
      </c>
      <c r="B11" s="20" t="s">
        <v>17</v>
      </c>
      <c r="C11" s="29">
        <v>140</v>
      </c>
      <c r="D11" s="30">
        <v>10129.46</v>
      </c>
      <c r="E11" s="23">
        <v>7.4543466548952715</v>
      </c>
      <c r="F11" s="24">
        <v>140</v>
      </c>
      <c r="G11" s="25">
        <v>9902.96</v>
      </c>
      <c r="H11" s="23">
        <v>7.3852751689011535</v>
      </c>
      <c r="I11" s="27">
        <f t="shared" si="0"/>
        <v>226.5</v>
      </c>
      <c r="J11" s="31">
        <f t="shared" si="1"/>
        <v>2.2871949396947984</v>
      </c>
    </row>
    <row r="12" spans="1:10" ht="23.25">
      <c r="A12" s="19">
        <v>6</v>
      </c>
      <c r="B12" s="20" t="s">
        <v>18</v>
      </c>
      <c r="C12" s="29">
        <v>78</v>
      </c>
      <c r="D12" s="30">
        <v>6612.179392489999</v>
      </c>
      <c r="E12" s="23">
        <v>4.8659531047040305</v>
      </c>
      <c r="F12" s="24">
        <v>79</v>
      </c>
      <c r="G12" s="25">
        <v>6396.73118896</v>
      </c>
      <c r="H12" s="23">
        <v>4.770454491582501</v>
      </c>
      <c r="I12" s="27">
        <f t="shared" si="0"/>
        <v>215.44820352999977</v>
      </c>
      <c r="J12" s="31">
        <f t="shared" si="1"/>
        <v>3.3680984422455937</v>
      </c>
    </row>
    <row r="13" spans="1:10" ht="23.25">
      <c r="A13" s="19">
        <v>7</v>
      </c>
      <c r="B13" s="32" t="s">
        <v>19</v>
      </c>
      <c r="C13" s="33">
        <v>9</v>
      </c>
      <c r="D13" s="34">
        <v>5835.39264</v>
      </c>
      <c r="E13" s="23">
        <v>4.2943098255962795</v>
      </c>
      <c r="F13" s="24">
        <v>9</v>
      </c>
      <c r="G13" s="25">
        <v>5803.3109</v>
      </c>
      <c r="H13" s="23">
        <v>4.327902757072978</v>
      </c>
      <c r="I13" s="27">
        <f t="shared" si="0"/>
        <v>32.08173999999963</v>
      </c>
      <c r="J13" s="31">
        <f t="shared" si="1"/>
        <v>0.5528178750512854</v>
      </c>
    </row>
    <row r="14" spans="1:10" ht="23.25">
      <c r="A14" s="19">
        <v>8</v>
      </c>
      <c r="B14" s="32" t="s">
        <v>20</v>
      </c>
      <c r="C14" s="33">
        <v>432</v>
      </c>
      <c r="D14" s="34">
        <v>5596.55</v>
      </c>
      <c r="E14" s="23">
        <v>4.118543710272229</v>
      </c>
      <c r="F14" s="24">
        <v>441</v>
      </c>
      <c r="G14" s="25">
        <v>5516.64</v>
      </c>
      <c r="H14" s="23">
        <v>4.114113801102586</v>
      </c>
      <c r="I14" s="27">
        <f t="shared" si="0"/>
        <v>79.90999999999985</v>
      </c>
      <c r="J14" s="31">
        <f t="shared" si="1"/>
        <v>1.4485266394036922</v>
      </c>
    </row>
    <row r="15" spans="1:10" ht="23.25">
      <c r="A15" s="19">
        <v>9</v>
      </c>
      <c r="B15" s="20" t="s">
        <v>21</v>
      </c>
      <c r="C15" s="21">
        <v>68</v>
      </c>
      <c r="D15" s="22">
        <v>5488.912013130001</v>
      </c>
      <c r="E15" s="23">
        <v>4.03933209708021</v>
      </c>
      <c r="F15" s="24">
        <v>74</v>
      </c>
      <c r="G15" s="25">
        <v>5396.37495692</v>
      </c>
      <c r="H15" s="23">
        <v>4.024424411632614</v>
      </c>
      <c r="I15" s="27">
        <f t="shared" si="0"/>
        <v>92.53705621000063</v>
      </c>
      <c r="J15" s="31">
        <f t="shared" si="1"/>
        <v>1.7148003418727686</v>
      </c>
    </row>
    <row r="16" spans="1:10" ht="23.25">
      <c r="A16" s="19">
        <v>10</v>
      </c>
      <c r="B16" s="20" t="s">
        <v>23</v>
      </c>
      <c r="C16" s="29">
        <v>19</v>
      </c>
      <c r="D16" s="30">
        <v>3021.39195034</v>
      </c>
      <c r="E16" s="23">
        <v>2.22346531583564</v>
      </c>
      <c r="F16" s="24">
        <v>18</v>
      </c>
      <c r="G16" s="25">
        <v>2711.28362741</v>
      </c>
      <c r="H16" s="23">
        <v>2.0219788476737586</v>
      </c>
      <c r="I16" s="27">
        <f t="shared" si="0"/>
        <v>310.1083229300002</v>
      </c>
      <c r="J16" s="31">
        <f t="shared" si="1"/>
        <v>11.43769393194162</v>
      </c>
    </row>
    <row r="17" spans="1:10" ht="23.25">
      <c r="A17" s="19">
        <v>11</v>
      </c>
      <c r="B17" s="20" t="s">
        <v>22</v>
      </c>
      <c r="C17" s="33">
        <v>60</v>
      </c>
      <c r="D17" s="34">
        <v>2955.17</v>
      </c>
      <c r="E17" s="23">
        <v>2.174732078920975</v>
      </c>
      <c r="F17" s="24">
        <v>61</v>
      </c>
      <c r="G17" s="25">
        <v>2955.49</v>
      </c>
      <c r="H17" s="23">
        <v>2.2040992702117017</v>
      </c>
      <c r="I17" s="27">
        <f t="shared" si="0"/>
        <v>-0.31999999999970896</v>
      </c>
      <c r="J17" s="31">
        <f t="shared" si="1"/>
        <v>-0.010827307823735116</v>
      </c>
    </row>
    <row r="18" spans="1:10" ht="23.25">
      <c r="A18" s="19">
        <v>12</v>
      </c>
      <c r="B18" s="20" t="s">
        <v>24</v>
      </c>
      <c r="C18" s="29">
        <v>29</v>
      </c>
      <c r="D18" s="35">
        <v>1677.25652104</v>
      </c>
      <c r="E18" s="23">
        <v>1.234305830420951</v>
      </c>
      <c r="F18" s="24">
        <v>30</v>
      </c>
      <c r="G18" s="25">
        <v>1599.20945459</v>
      </c>
      <c r="H18" s="23">
        <v>1.1926335029986475</v>
      </c>
      <c r="I18" s="27">
        <f t="shared" si="0"/>
        <v>78.0470664500001</v>
      </c>
      <c r="J18" s="31">
        <f t="shared" si="1"/>
        <v>4.880352991035158</v>
      </c>
    </row>
    <row r="19" spans="1:10" ht="23.25">
      <c r="A19" s="19">
        <v>13</v>
      </c>
      <c r="B19" s="20" t="s">
        <v>25</v>
      </c>
      <c r="C19" s="29">
        <v>4</v>
      </c>
      <c r="D19" s="35">
        <v>1373.93806141</v>
      </c>
      <c r="E19" s="23">
        <v>1.011091469052144</v>
      </c>
      <c r="F19" s="24">
        <v>4</v>
      </c>
      <c r="G19" s="25">
        <v>1368.13823611</v>
      </c>
      <c r="H19" s="23">
        <v>1.020308810978476</v>
      </c>
      <c r="I19" s="27">
        <f t="shared" si="0"/>
        <v>5.799825300000066</v>
      </c>
      <c r="J19" s="31">
        <f t="shared" si="1"/>
        <v>0.4239210005920595</v>
      </c>
    </row>
    <row r="20" spans="1:10" ht="23.25">
      <c r="A20" s="19">
        <v>14</v>
      </c>
      <c r="B20" s="20" t="s">
        <v>26</v>
      </c>
      <c r="C20" s="29">
        <v>36</v>
      </c>
      <c r="D20" s="35">
        <v>1048.15734868</v>
      </c>
      <c r="E20" s="23">
        <v>0.7713469647875263</v>
      </c>
      <c r="F20" s="24">
        <v>36</v>
      </c>
      <c r="G20" s="25">
        <v>1028.01342078</v>
      </c>
      <c r="H20" s="23">
        <v>0.7666558271247857</v>
      </c>
      <c r="I20" s="27">
        <f t="shared" si="0"/>
        <v>20.143927900000108</v>
      </c>
      <c r="J20" s="31">
        <f t="shared" si="1"/>
        <v>1.9595004785750758</v>
      </c>
    </row>
    <row r="21" spans="1:10" ht="23.25">
      <c r="A21" s="36">
        <v>15</v>
      </c>
      <c r="B21" s="20" t="s">
        <v>43</v>
      </c>
      <c r="C21" s="29">
        <v>2</v>
      </c>
      <c r="D21" s="35">
        <v>1015.26964021</v>
      </c>
      <c r="E21" s="23">
        <v>0.7471446499928072</v>
      </c>
      <c r="F21" s="24">
        <v>2</v>
      </c>
      <c r="G21" s="25">
        <v>976.12350457</v>
      </c>
      <c r="H21" s="23">
        <v>0.7279581741299161</v>
      </c>
      <c r="I21" s="27">
        <f t="shared" si="0"/>
        <v>39.14613564000001</v>
      </c>
      <c r="J21" s="31">
        <f t="shared" si="1"/>
        <v>4.010367075142258</v>
      </c>
    </row>
    <row r="22" spans="1:10" ht="23.25">
      <c r="A22" s="19">
        <v>16</v>
      </c>
      <c r="B22" s="20" t="s">
        <v>28</v>
      </c>
      <c r="C22" s="29">
        <v>164</v>
      </c>
      <c r="D22" s="35">
        <v>927.4939152100001</v>
      </c>
      <c r="E22" s="23">
        <v>0.6825498263758762</v>
      </c>
      <c r="F22" s="24">
        <v>169</v>
      </c>
      <c r="G22" s="25">
        <v>930.60896223</v>
      </c>
      <c r="H22" s="23">
        <v>0.6940150480981536</v>
      </c>
      <c r="I22" s="27">
        <f t="shared" si="0"/>
        <v>-3.1150470199999063</v>
      </c>
      <c r="J22" s="31">
        <f t="shared" si="1"/>
        <v>-0.33473211052420776</v>
      </c>
    </row>
    <row r="23" spans="1:10" ht="23.25">
      <c r="A23" s="19">
        <v>17</v>
      </c>
      <c r="B23" s="32" t="s">
        <v>29</v>
      </c>
      <c r="C23" s="29">
        <v>18</v>
      </c>
      <c r="D23" s="35">
        <v>798.491</v>
      </c>
      <c r="E23" s="23">
        <v>0.5876155999247721</v>
      </c>
      <c r="F23" s="24">
        <v>18</v>
      </c>
      <c r="G23" s="25">
        <v>747.731</v>
      </c>
      <c r="H23" s="23">
        <v>0.5576311716211748</v>
      </c>
      <c r="I23" s="27">
        <f t="shared" si="0"/>
        <v>50.75999999999999</v>
      </c>
      <c r="J23" s="31">
        <f t="shared" si="1"/>
        <v>6.788537589052747</v>
      </c>
    </row>
    <row r="24" spans="1:10" ht="23.25">
      <c r="A24" s="19">
        <v>18</v>
      </c>
      <c r="B24" s="20" t="s">
        <v>33</v>
      </c>
      <c r="C24" s="21">
        <v>6</v>
      </c>
      <c r="D24" s="37">
        <v>565.78665885</v>
      </c>
      <c r="E24" s="23">
        <v>0.41636670541004855</v>
      </c>
      <c r="F24" s="24">
        <v>0</v>
      </c>
      <c r="G24" s="25">
        <v>0</v>
      </c>
      <c r="H24" s="23">
        <v>0</v>
      </c>
      <c r="I24" s="27">
        <f t="shared" si="0"/>
        <v>565.78665885</v>
      </c>
      <c r="J24" s="31">
        <v>0</v>
      </c>
    </row>
    <row r="25" spans="1:10" ht="23.25">
      <c r="A25" s="38">
        <v>19</v>
      </c>
      <c r="B25" s="20" t="s">
        <v>30</v>
      </c>
      <c r="C25" s="40">
        <v>20</v>
      </c>
      <c r="D25" s="41">
        <v>467.42730126</v>
      </c>
      <c r="E25" s="23">
        <v>0.34398330607497396</v>
      </c>
      <c r="F25" s="24">
        <v>16</v>
      </c>
      <c r="G25" s="25">
        <v>413.02232619</v>
      </c>
      <c r="H25" s="23">
        <v>0.3080173533784646</v>
      </c>
      <c r="I25" s="27">
        <f t="shared" si="0"/>
        <v>54.40497506999998</v>
      </c>
      <c r="J25" s="31">
        <f t="shared" si="1"/>
        <v>13.172405368946668</v>
      </c>
    </row>
    <row r="26" spans="1:10" ht="23.25">
      <c r="A26" s="38">
        <v>20</v>
      </c>
      <c r="B26" s="20" t="s">
        <v>31</v>
      </c>
      <c r="C26" s="33">
        <v>1</v>
      </c>
      <c r="D26" s="39">
        <v>204.93256546</v>
      </c>
      <c r="E26" s="23">
        <v>0.15081143356268326</v>
      </c>
      <c r="F26" s="24">
        <v>1</v>
      </c>
      <c r="G26" s="25">
        <v>202.55404893</v>
      </c>
      <c r="H26" s="23">
        <v>0.15105760175978886</v>
      </c>
      <c r="I26" s="27">
        <f t="shared" si="0"/>
        <v>2.378516530000013</v>
      </c>
      <c r="J26" s="31">
        <f t="shared" si="1"/>
        <v>1.174262643755888</v>
      </c>
    </row>
    <row r="27" spans="1:10" ht="23.25">
      <c r="A27" s="38">
        <v>21</v>
      </c>
      <c r="B27" s="20" t="s">
        <v>35</v>
      </c>
      <c r="C27" s="40">
        <v>2</v>
      </c>
      <c r="D27" s="41">
        <v>140.86311657</v>
      </c>
      <c r="E27" s="23">
        <v>0.10366223883619682</v>
      </c>
      <c r="F27" s="63">
        <v>0</v>
      </c>
      <c r="G27" s="25">
        <v>0</v>
      </c>
      <c r="H27" s="42">
        <v>0</v>
      </c>
      <c r="I27" s="27">
        <f t="shared" si="0"/>
        <v>140.86311657</v>
      </c>
      <c r="J27" s="31">
        <v>0</v>
      </c>
    </row>
    <row r="28" spans="1:10" ht="23.25">
      <c r="A28" s="38">
        <v>22</v>
      </c>
      <c r="B28" s="20" t="s">
        <v>32</v>
      </c>
      <c r="C28" s="40">
        <v>1</v>
      </c>
      <c r="D28" s="41">
        <v>7.72</v>
      </c>
      <c r="E28" s="23">
        <v>0.00568120671544105</v>
      </c>
      <c r="F28" s="24">
        <v>1</v>
      </c>
      <c r="G28" s="25">
        <v>7.45</v>
      </c>
      <c r="H28" s="42">
        <v>0.00555594489004435</v>
      </c>
      <c r="I28" s="27">
        <f t="shared" si="0"/>
        <v>0.2699999999999996</v>
      </c>
      <c r="J28" s="31">
        <f t="shared" si="1"/>
        <v>3.6241610738254977</v>
      </c>
    </row>
    <row r="29" spans="1:10" ht="24" thickBot="1">
      <c r="A29" s="38">
        <v>23</v>
      </c>
      <c r="B29" s="20" t="s">
        <v>44</v>
      </c>
      <c r="C29" s="40"/>
      <c r="D29" s="41"/>
      <c r="E29" s="23">
        <v>0</v>
      </c>
      <c r="F29" s="24">
        <v>0</v>
      </c>
      <c r="G29" s="25">
        <v>0</v>
      </c>
      <c r="H29" s="42">
        <v>0</v>
      </c>
      <c r="I29" s="27">
        <f t="shared" si="0"/>
        <v>0</v>
      </c>
      <c r="J29" s="64">
        <v>0</v>
      </c>
    </row>
    <row r="30" spans="1:11" ht="24" thickBot="1">
      <c r="A30" s="72" t="s">
        <v>36</v>
      </c>
      <c r="B30" s="73"/>
      <c r="C30" s="43">
        <f aca="true" t="shared" si="2" ref="C30:I30">SUM(C7:C29)</f>
        <v>1507</v>
      </c>
      <c r="D30" s="44">
        <f t="shared" si="2"/>
        <v>135886.62385788</v>
      </c>
      <c r="E30" s="45">
        <f t="shared" si="2"/>
        <v>99.99999999999997</v>
      </c>
      <c r="F30" s="43">
        <f t="shared" si="2"/>
        <v>1522</v>
      </c>
      <c r="G30" s="46">
        <f t="shared" si="2"/>
        <v>134090.60290266</v>
      </c>
      <c r="H30" s="47">
        <f t="shared" si="2"/>
        <v>99.99999999999999</v>
      </c>
      <c r="I30" s="48">
        <f t="shared" si="2"/>
        <v>1796.0209552200076</v>
      </c>
      <c r="J30" s="65">
        <f>(D30-G30)/G30*100</f>
        <v>1.3394085165862</v>
      </c>
      <c r="K30" s="50"/>
    </row>
    <row r="31" spans="1:11" ht="5.25" customHeight="1">
      <c r="A31" s="51"/>
      <c r="B31" s="52"/>
      <c r="C31" s="53"/>
      <c r="D31" s="54"/>
      <c r="E31" s="55"/>
      <c r="F31" s="53"/>
      <c r="G31" s="54"/>
      <c r="H31" s="55"/>
      <c r="I31" s="56"/>
      <c r="J31" s="57"/>
      <c r="K31" s="50"/>
    </row>
    <row r="32" spans="2:10" ht="21">
      <c r="B32" s="58" t="s">
        <v>45</v>
      </c>
      <c r="H32" s="59" t="s">
        <v>37</v>
      </c>
      <c r="J32" s="60"/>
    </row>
    <row r="33" spans="2:10" ht="21">
      <c r="B33" s="61" t="s">
        <v>40</v>
      </c>
      <c r="H33" s="59" t="s">
        <v>39</v>
      </c>
      <c r="J33" s="60"/>
    </row>
    <row r="34" spans="2:10" ht="21">
      <c r="B34" s="1"/>
      <c r="H34" s="59"/>
      <c r="J34" s="60"/>
    </row>
    <row r="35" spans="8:10" ht="21">
      <c r="H35" s="59"/>
      <c r="J35" s="60"/>
    </row>
    <row r="37" spans="2:6" ht="21">
      <c r="B37" s="1"/>
      <c r="F37" s="62"/>
    </row>
    <row r="38" ht="21" hidden="1"/>
  </sheetData>
  <mergeCells count="6">
    <mergeCell ref="A30:B30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3.421875" style="58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46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0" ht="22.5" customHeight="1" thickBot="1">
      <c r="A4" s="5"/>
      <c r="B4" s="6"/>
      <c r="C4" s="76" t="s">
        <v>47</v>
      </c>
      <c r="D4" s="77"/>
      <c r="E4" s="78"/>
      <c r="F4" s="76" t="s">
        <v>42</v>
      </c>
      <c r="G4" s="77"/>
      <c r="H4" s="78"/>
      <c r="I4" s="79" t="s">
        <v>4</v>
      </c>
      <c r="J4" s="78"/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0" ht="23.25">
      <c r="A7" s="19">
        <v>1</v>
      </c>
      <c r="B7" s="20" t="s">
        <v>13</v>
      </c>
      <c r="C7" s="21">
        <v>234</v>
      </c>
      <c r="D7" s="22">
        <v>38558.26524211</v>
      </c>
      <c r="E7" s="23">
        <v>28.358283536977215</v>
      </c>
      <c r="F7" s="24">
        <v>242</v>
      </c>
      <c r="G7" s="25">
        <v>37883.251200470004</v>
      </c>
      <c r="H7" s="26">
        <v>27.878572684307052</v>
      </c>
      <c r="I7" s="27">
        <f aca="true" t="shared" si="0" ref="I7:I31">(D7-G7)</f>
        <v>675.0140416399954</v>
      </c>
      <c r="J7" s="28">
        <f aca="true" t="shared" si="1" ref="J7:J27">(D7-G7)/G7*100</f>
        <v>1.7818271142251403</v>
      </c>
    </row>
    <row r="8" spans="1:10" ht="23.25">
      <c r="A8" s="19">
        <v>2</v>
      </c>
      <c r="B8" s="20" t="s">
        <v>14</v>
      </c>
      <c r="C8" s="29">
        <v>82</v>
      </c>
      <c r="D8" s="30">
        <v>18877.70177203</v>
      </c>
      <c r="E8" s="23">
        <v>13.88390312728781</v>
      </c>
      <c r="F8" s="24">
        <v>83</v>
      </c>
      <c r="G8" s="25">
        <v>18608.975042060003</v>
      </c>
      <c r="H8" s="23">
        <v>13.694486266376451</v>
      </c>
      <c r="I8" s="27">
        <f t="shared" si="0"/>
        <v>268.7267299699961</v>
      </c>
      <c r="J8" s="31">
        <f t="shared" si="1"/>
        <v>1.4440705593006598</v>
      </c>
    </row>
    <row r="9" spans="1:10" ht="23.25">
      <c r="A9" s="19">
        <v>3</v>
      </c>
      <c r="B9" s="20" t="s">
        <v>15</v>
      </c>
      <c r="C9" s="21">
        <v>43</v>
      </c>
      <c r="D9" s="22">
        <v>17049.10962093</v>
      </c>
      <c r="E9" s="23">
        <v>12.53903622602088</v>
      </c>
      <c r="F9" s="24">
        <v>43</v>
      </c>
      <c r="G9" s="25">
        <v>16908.851749780002</v>
      </c>
      <c r="H9" s="23">
        <v>12.443352605083847</v>
      </c>
      <c r="I9" s="27">
        <f t="shared" si="0"/>
        <v>140.25787114999912</v>
      </c>
      <c r="J9" s="31">
        <f t="shared" si="1"/>
        <v>0.8294937659017797</v>
      </c>
    </row>
    <row r="10" spans="1:10" ht="23.25">
      <c r="A10" s="19">
        <v>4</v>
      </c>
      <c r="B10" s="20" t="s">
        <v>16</v>
      </c>
      <c r="C10" s="21">
        <v>51</v>
      </c>
      <c r="D10" s="22">
        <v>14763.610638549999</v>
      </c>
      <c r="E10" s="23">
        <v>10.858129998553416</v>
      </c>
      <c r="F10" s="24">
        <v>50</v>
      </c>
      <c r="G10" s="25">
        <v>14619.153740920001</v>
      </c>
      <c r="H10" s="23">
        <v>10.758346425774594</v>
      </c>
      <c r="I10" s="27">
        <f t="shared" si="0"/>
        <v>144.4568976299979</v>
      </c>
      <c r="J10" s="31">
        <f t="shared" si="1"/>
        <v>0.9881344720088228</v>
      </c>
    </row>
    <row r="11" spans="1:10" ht="23.25">
      <c r="A11" s="19">
        <v>5</v>
      </c>
      <c r="B11" s="20" t="s">
        <v>17</v>
      </c>
      <c r="C11" s="29">
        <v>140</v>
      </c>
      <c r="D11" s="30">
        <v>10314.74</v>
      </c>
      <c r="E11" s="23">
        <v>7.586138009413039</v>
      </c>
      <c r="F11" s="24">
        <v>140</v>
      </c>
      <c r="G11" s="25">
        <v>10129.46</v>
      </c>
      <c r="H11" s="23">
        <v>7.4543466548952715</v>
      </c>
      <c r="I11" s="27">
        <f t="shared" si="0"/>
        <v>185.28000000000065</v>
      </c>
      <c r="J11" s="31">
        <f t="shared" si="1"/>
        <v>1.8291202097643968</v>
      </c>
    </row>
    <row r="12" spans="1:10" ht="23.25">
      <c r="A12" s="19">
        <v>6</v>
      </c>
      <c r="B12" s="20" t="s">
        <v>19</v>
      </c>
      <c r="C12" s="29">
        <v>9</v>
      </c>
      <c r="D12" s="30">
        <v>5904.46787</v>
      </c>
      <c r="E12" s="23">
        <v>4.342533901384335</v>
      </c>
      <c r="F12" s="24">
        <v>9</v>
      </c>
      <c r="G12" s="25">
        <v>5835.39264</v>
      </c>
      <c r="H12" s="23">
        <v>4.2943098255962795</v>
      </c>
      <c r="I12" s="27">
        <f t="shared" si="0"/>
        <v>69.07523000000037</v>
      </c>
      <c r="J12" s="31">
        <f t="shared" si="1"/>
        <v>1.1837289152834174</v>
      </c>
    </row>
    <row r="13" spans="1:10" ht="23.25">
      <c r="A13" s="19">
        <v>7</v>
      </c>
      <c r="B13" s="32" t="s">
        <v>21</v>
      </c>
      <c r="C13" s="40">
        <v>61</v>
      </c>
      <c r="D13" s="66">
        <v>5613.56510529</v>
      </c>
      <c r="E13" s="23">
        <v>4.128584880816693</v>
      </c>
      <c r="F13" s="24">
        <v>68</v>
      </c>
      <c r="G13" s="25">
        <v>5488.912013130001</v>
      </c>
      <c r="H13" s="23">
        <v>4.03933209708021</v>
      </c>
      <c r="I13" s="27">
        <f t="shared" si="0"/>
        <v>124.65309215999969</v>
      </c>
      <c r="J13" s="31">
        <f t="shared" si="1"/>
        <v>2.270998184372743</v>
      </c>
    </row>
    <row r="14" spans="1:10" ht="23.25">
      <c r="A14" s="19">
        <v>8</v>
      </c>
      <c r="B14" s="32" t="s">
        <v>20</v>
      </c>
      <c r="C14" s="33">
        <v>428</v>
      </c>
      <c r="D14" s="34">
        <v>5554.87</v>
      </c>
      <c r="E14" s="23">
        <v>4.085416641073668</v>
      </c>
      <c r="F14" s="24">
        <v>432</v>
      </c>
      <c r="G14" s="25">
        <v>5596.55</v>
      </c>
      <c r="H14" s="23">
        <v>4.118543710272229</v>
      </c>
      <c r="I14" s="27">
        <f t="shared" si="0"/>
        <v>-41.68000000000029</v>
      </c>
      <c r="J14" s="31">
        <f t="shared" si="1"/>
        <v>-0.7447445301123066</v>
      </c>
    </row>
    <row r="15" spans="1:10" ht="23.25">
      <c r="A15" s="19">
        <v>9</v>
      </c>
      <c r="B15" s="20" t="s">
        <v>18</v>
      </c>
      <c r="C15" s="29">
        <v>74</v>
      </c>
      <c r="D15" s="30">
        <v>4139.459460380001</v>
      </c>
      <c r="E15" s="23">
        <v>3.0444306643515118</v>
      </c>
      <c r="F15" s="24">
        <v>78</v>
      </c>
      <c r="G15" s="25">
        <v>6612.179392489999</v>
      </c>
      <c r="H15" s="23">
        <v>4.8659531047040305</v>
      </c>
      <c r="I15" s="27">
        <f t="shared" si="0"/>
        <v>-2472.719932109999</v>
      </c>
      <c r="J15" s="31">
        <f t="shared" si="1"/>
        <v>-37.39644352236529</v>
      </c>
    </row>
    <row r="16" spans="1:10" ht="23.25">
      <c r="A16" s="19">
        <v>10</v>
      </c>
      <c r="B16" s="20" t="s">
        <v>23</v>
      </c>
      <c r="C16" s="29">
        <v>19</v>
      </c>
      <c r="D16" s="30">
        <v>3116.62855692</v>
      </c>
      <c r="E16" s="23">
        <v>2.292173564905458</v>
      </c>
      <c r="F16" s="24">
        <v>19</v>
      </c>
      <c r="G16" s="25">
        <v>3021.39195034</v>
      </c>
      <c r="H16" s="23">
        <v>2.22346531583564</v>
      </c>
      <c r="I16" s="27">
        <f t="shared" si="0"/>
        <v>95.23660657999972</v>
      </c>
      <c r="J16" s="31">
        <f t="shared" si="1"/>
        <v>3.152077193072638</v>
      </c>
    </row>
    <row r="17" spans="1:10" ht="23.25">
      <c r="A17" s="19">
        <v>11</v>
      </c>
      <c r="B17" s="20" t="s">
        <v>22</v>
      </c>
      <c r="C17" s="33">
        <v>58</v>
      </c>
      <c r="D17" s="34">
        <v>3000.79</v>
      </c>
      <c r="E17" s="23">
        <v>2.206978273545097</v>
      </c>
      <c r="F17" s="24">
        <v>60</v>
      </c>
      <c r="G17" s="25">
        <v>2955.17</v>
      </c>
      <c r="H17" s="23">
        <v>2.174732078920975</v>
      </c>
      <c r="I17" s="27">
        <f t="shared" si="0"/>
        <v>45.61999999999989</v>
      </c>
      <c r="J17" s="31">
        <f t="shared" si="1"/>
        <v>1.5437352165865208</v>
      </c>
    </row>
    <row r="18" spans="1:10" ht="23.25">
      <c r="A18" s="19">
        <v>12</v>
      </c>
      <c r="B18" s="20" t="s">
        <v>24</v>
      </c>
      <c r="C18" s="29">
        <v>30</v>
      </c>
      <c r="D18" s="35">
        <v>1698.31930622</v>
      </c>
      <c r="E18" s="23">
        <v>1.2490556854594033</v>
      </c>
      <c r="F18" s="24">
        <v>29</v>
      </c>
      <c r="G18" s="25">
        <v>1677.25652104</v>
      </c>
      <c r="H18" s="23">
        <v>1.234305830420951</v>
      </c>
      <c r="I18" s="27">
        <f t="shared" si="0"/>
        <v>21.06278517999999</v>
      </c>
      <c r="J18" s="31">
        <f t="shared" si="1"/>
        <v>1.2557879439299957</v>
      </c>
    </row>
    <row r="19" spans="1:10" ht="23.25">
      <c r="A19" s="19">
        <v>13</v>
      </c>
      <c r="B19" s="20" t="s">
        <v>25</v>
      </c>
      <c r="C19" s="29">
        <v>4</v>
      </c>
      <c r="D19" s="35">
        <v>1387.06395444</v>
      </c>
      <c r="E19" s="23">
        <v>1.0201380341398854</v>
      </c>
      <c r="F19" s="24">
        <v>4</v>
      </c>
      <c r="G19" s="25">
        <v>1373.93806141</v>
      </c>
      <c r="H19" s="23">
        <v>1.011091469052144</v>
      </c>
      <c r="I19" s="27">
        <f t="shared" si="0"/>
        <v>13.125893030000043</v>
      </c>
      <c r="J19" s="31">
        <f t="shared" si="1"/>
        <v>0.9553482357515908</v>
      </c>
    </row>
    <row r="20" spans="1:10" ht="23.25">
      <c r="A20" s="19">
        <v>14</v>
      </c>
      <c r="B20" s="20" t="s">
        <v>30</v>
      </c>
      <c r="C20" s="21">
        <v>39</v>
      </c>
      <c r="D20" s="37">
        <v>1157.82626573</v>
      </c>
      <c r="E20" s="23">
        <v>0.8515415650565226</v>
      </c>
      <c r="F20" s="24">
        <v>20</v>
      </c>
      <c r="G20" s="25">
        <v>467.42730126</v>
      </c>
      <c r="H20" s="23">
        <v>0.34398330607497396</v>
      </c>
      <c r="I20" s="27">
        <f t="shared" si="0"/>
        <v>690.39896447</v>
      </c>
      <c r="J20" s="31">
        <f t="shared" si="1"/>
        <v>147.70189131207275</v>
      </c>
    </row>
    <row r="21" spans="1:10" ht="23.25">
      <c r="A21" s="36">
        <v>15</v>
      </c>
      <c r="B21" s="20" t="s">
        <v>26</v>
      </c>
      <c r="C21" s="29">
        <v>36</v>
      </c>
      <c r="D21" s="35">
        <v>1123.95319383</v>
      </c>
      <c r="E21" s="23">
        <v>0.8266290807635426</v>
      </c>
      <c r="F21" s="24">
        <v>36</v>
      </c>
      <c r="G21" s="25">
        <v>1048.15734868</v>
      </c>
      <c r="H21" s="23">
        <v>0.7713469647875263</v>
      </c>
      <c r="I21" s="27">
        <f t="shared" si="0"/>
        <v>75.79584514999988</v>
      </c>
      <c r="J21" s="31">
        <f t="shared" si="1"/>
        <v>7.231342245079291</v>
      </c>
    </row>
    <row r="22" spans="1:10" ht="23.25">
      <c r="A22" s="19">
        <v>16</v>
      </c>
      <c r="B22" s="20" t="s">
        <v>43</v>
      </c>
      <c r="C22" s="29">
        <v>2</v>
      </c>
      <c r="D22" s="35">
        <v>1064.39057669</v>
      </c>
      <c r="E22" s="23">
        <v>0.7828228157655039</v>
      </c>
      <c r="F22" s="24">
        <v>2</v>
      </c>
      <c r="G22" s="25">
        <v>1015.26964021</v>
      </c>
      <c r="H22" s="23">
        <v>0.7471446499928072</v>
      </c>
      <c r="I22" s="27">
        <f t="shared" si="0"/>
        <v>49.120936479999955</v>
      </c>
      <c r="J22" s="31">
        <f t="shared" si="1"/>
        <v>4.8382158329721845</v>
      </c>
    </row>
    <row r="23" spans="1:10" ht="23.25">
      <c r="A23" s="19">
        <v>17</v>
      </c>
      <c r="B23" s="32" t="s">
        <v>28</v>
      </c>
      <c r="C23" s="29">
        <v>162</v>
      </c>
      <c r="D23" s="35">
        <v>921.16112238</v>
      </c>
      <c r="E23" s="23">
        <v>0.6774824574618938</v>
      </c>
      <c r="F23" s="24">
        <v>164</v>
      </c>
      <c r="G23" s="25">
        <v>927.4939152100001</v>
      </c>
      <c r="H23" s="23">
        <v>0.6825498263758762</v>
      </c>
      <c r="I23" s="27">
        <f t="shared" si="0"/>
        <v>-6.332792830000017</v>
      </c>
      <c r="J23" s="31">
        <f t="shared" si="1"/>
        <v>-0.6827853774723867</v>
      </c>
    </row>
    <row r="24" spans="1:10" ht="23.25">
      <c r="A24" s="19">
        <v>18</v>
      </c>
      <c r="B24" s="20" t="s">
        <v>29</v>
      </c>
      <c r="C24" s="29">
        <v>18</v>
      </c>
      <c r="D24" s="35">
        <v>786.724</v>
      </c>
      <c r="E24" s="23">
        <v>0.5786085581718458</v>
      </c>
      <c r="F24" s="24">
        <v>18</v>
      </c>
      <c r="G24" s="25">
        <v>798.491</v>
      </c>
      <c r="H24" s="23">
        <v>0.5876155999247721</v>
      </c>
      <c r="I24" s="27">
        <f t="shared" si="0"/>
        <v>-11.766999999999939</v>
      </c>
      <c r="J24" s="31">
        <f t="shared" si="1"/>
        <v>-1.473654681142297</v>
      </c>
    </row>
    <row r="25" spans="1:10" ht="23.25">
      <c r="A25" s="38">
        <v>19</v>
      </c>
      <c r="B25" s="20" t="s">
        <v>33</v>
      </c>
      <c r="C25" s="21">
        <v>6</v>
      </c>
      <c r="D25" s="37">
        <v>577.56792565</v>
      </c>
      <c r="E25" s="23">
        <v>0.42478142869246427</v>
      </c>
      <c r="F25" s="24">
        <v>6</v>
      </c>
      <c r="G25" s="25">
        <v>565.78665885</v>
      </c>
      <c r="H25" s="23">
        <v>0.41636670541004855</v>
      </c>
      <c r="I25" s="27">
        <f t="shared" si="0"/>
        <v>11.781266800000026</v>
      </c>
      <c r="J25" s="31">
        <f t="shared" si="1"/>
        <v>2.0822807706258493</v>
      </c>
    </row>
    <row r="26" spans="1:10" ht="23.25">
      <c r="A26" s="38">
        <v>20</v>
      </c>
      <c r="B26" s="20" t="s">
        <v>31</v>
      </c>
      <c r="C26" s="33">
        <v>1</v>
      </c>
      <c r="D26" s="39">
        <v>205.16883113</v>
      </c>
      <c r="E26" s="23">
        <v>0.15089464864670735</v>
      </c>
      <c r="F26" s="24">
        <v>1</v>
      </c>
      <c r="G26" s="25">
        <v>204.93256546</v>
      </c>
      <c r="H26" s="23">
        <v>0.15081143356268326</v>
      </c>
      <c r="I26" s="27">
        <f t="shared" si="0"/>
        <v>0.23626566999999454</v>
      </c>
      <c r="J26" s="31">
        <f t="shared" si="1"/>
        <v>0.11528947069474438</v>
      </c>
    </row>
    <row r="27" spans="1:10" ht="23.25">
      <c r="A27" s="38">
        <v>21</v>
      </c>
      <c r="B27" s="20" t="s">
        <v>35</v>
      </c>
      <c r="C27" s="40">
        <v>2</v>
      </c>
      <c r="D27" s="41">
        <v>144.83850077000002</v>
      </c>
      <c r="E27" s="23">
        <v>0.10652375686810303</v>
      </c>
      <c r="F27" s="63">
        <v>2</v>
      </c>
      <c r="G27" s="25">
        <v>140.86311657</v>
      </c>
      <c r="H27" s="42">
        <v>0.10366223883619682</v>
      </c>
      <c r="I27" s="27">
        <f t="shared" si="0"/>
        <v>3.975384200000036</v>
      </c>
      <c r="J27" s="31">
        <f t="shared" si="1"/>
        <v>2.822161185127921</v>
      </c>
    </row>
    <row r="28" spans="1:10" ht="23.25">
      <c r="A28" s="38">
        <v>22</v>
      </c>
      <c r="B28" s="20" t="s">
        <v>32</v>
      </c>
      <c r="C28" s="40">
        <v>1</v>
      </c>
      <c r="D28" s="41">
        <v>8.04</v>
      </c>
      <c r="E28" s="23">
        <v>0.005913144645011007</v>
      </c>
      <c r="F28" s="24">
        <v>1</v>
      </c>
      <c r="G28" s="25">
        <v>7.72</v>
      </c>
      <c r="H28" s="42">
        <v>0.00568120671544105</v>
      </c>
      <c r="I28" s="27">
        <f>(D28-G28)</f>
        <v>0.3199999999999994</v>
      </c>
      <c r="J28" s="31">
        <f>(D28-G28)/G28*100</f>
        <v>4.145077720207246</v>
      </c>
    </row>
    <row r="29" spans="1:10" ht="23.25">
      <c r="A29" s="38">
        <v>23</v>
      </c>
      <c r="B29" s="20" t="s">
        <v>44</v>
      </c>
      <c r="C29" s="40"/>
      <c r="D29" s="41"/>
      <c r="E29" s="23">
        <v>0</v>
      </c>
      <c r="F29" s="63"/>
      <c r="G29" s="25"/>
      <c r="H29" s="42">
        <v>0</v>
      </c>
      <c r="I29" s="27">
        <f>(D29-G29)</f>
        <v>0</v>
      </c>
      <c r="J29" s="31">
        <v>0</v>
      </c>
    </row>
    <row r="30" spans="1:10" ht="23.25">
      <c r="A30" s="38">
        <v>24</v>
      </c>
      <c r="B30" s="20" t="s">
        <v>48</v>
      </c>
      <c r="C30" s="40"/>
      <c r="D30" s="41"/>
      <c r="E30" s="23">
        <v>0</v>
      </c>
      <c r="F30" s="24"/>
      <c r="G30" s="25"/>
      <c r="H30" s="42">
        <v>0</v>
      </c>
      <c r="I30" s="27">
        <f>(D30-G30)</f>
        <v>0</v>
      </c>
      <c r="J30" s="31">
        <v>0</v>
      </c>
    </row>
    <row r="31" spans="1:10" ht="24" thickBot="1">
      <c r="A31" s="38">
        <v>25</v>
      </c>
      <c r="B31" s="20" t="s">
        <v>49</v>
      </c>
      <c r="C31" s="40"/>
      <c r="D31" s="41"/>
      <c r="E31" s="23">
        <v>0</v>
      </c>
      <c r="F31" s="24"/>
      <c r="G31" s="25"/>
      <c r="H31" s="42">
        <v>0</v>
      </c>
      <c r="I31" s="27">
        <f t="shared" si="0"/>
        <v>0</v>
      </c>
      <c r="J31" s="64">
        <v>0</v>
      </c>
    </row>
    <row r="32" spans="1:10" ht="24" thickBot="1">
      <c r="A32" s="72" t="s">
        <v>36</v>
      </c>
      <c r="B32" s="73"/>
      <c r="C32" s="43">
        <f aca="true" t="shared" si="2" ref="C32:I32">SUM(C7:C31)</f>
        <v>1500</v>
      </c>
      <c r="D32" s="44">
        <f t="shared" si="2"/>
        <v>135968.26194305</v>
      </c>
      <c r="E32" s="45">
        <f t="shared" si="2"/>
        <v>99.99999999999999</v>
      </c>
      <c r="F32" s="43">
        <f t="shared" si="2"/>
        <v>1507</v>
      </c>
      <c r="G32" s="46">
        <f t="shared" si="2"/>
        <v>135886.62385788</v>
      </c>
      <c r="H32" s="47">
        <f t="shared" si="2"/>
        <v>99.99999999999997</v>
      </c>
      <c r="I32" s="48">
        <f t="shared" si="2"/>
        <v>81.63808516998972</v>
      </c>
      <c r="J32" s="65">
        <f>(D32-G32)/G32*100</f>
        <v>0.06007808778541924</v>
      </c>
    </row>
    <row r="33" spans="1:10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</row>
    <row r="34" spans="2:10" ht="21">
      <c r="B34" s="58" t="s">
        <v>45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8:10" ht="21">
      <c r="H36" s="59"/>
      <c r="J36" s="60"/>
    </row>
    <row r="37" spans="8:10" ht="21">
      <c r="H37" s="59"/>
      <c r="J37" s="60"/>
    </row>
    <row r="39" spans="2:6" ht="21">
      <c r="B39" s="1"/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3.421875" style="58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1" width="9.140625" style="1" customWidth="1"/>
    <col min="12" max="12" width="0" style="67" hidden="1" customWidth="1"/>
    <col min="13" max="13" width="14.28125" style="68" hidden="1" customWidth="1"/>
    <col min="14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50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0" ht="22.5" customHeight="1" thickBot="1">
      <c r="A4" s="5"/>
      <c r="B4" s="6"/>
      <c r="C4" s="76" t="s">
        <v>51</v>
      </c>
      <c r="D4" s="77"/>
      <c r="E4" s="78"/>
      <c r="F4" s="76" t="s">
        <v>47</v>
      </c>
      <c r="G4" s="77"/>
      <c r="H4" s="78"/>
      <c r="I4" s="79" t="s">
        <v>4</v>
      </c>
      <c r="J4" s="78"/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0" ht="23.25">
      <c r="A7" s="19">
        <v>1</v>
      </c>
      <c r="B7" s="20" t="s">
        <v>13</v>
      </c>
      <c r="C7" s="21">
        <v>233</v>
      </c>
      <c r="D7" s="22">
        <v>38073.888182660005</v>
      </c>
      <c r="E7" s="23">
        <v>28.215476983318254</v>
      </c>
      <c r="F7" s="24">
        <v>234</v>
      </c>
      <c r="G7" s="25">
        <v>38558.26524211</v>
      </c>
      <c r="H7" s="26">
        <v>28.358283536977215</v>
      </c>
      <c r="I7" s="27">
        <f aca="true" t="shared" si="0" ref="I7:I31">(D7-G7)</f>
        <v>-484.3770594499947</v>
      </c>
      <c r="J7" s="28">
        <f aca="true" t="shared" si="1" ref="J7:J28">(D7-G7)/G7*100</f>
        <v>-1.2562210888082175</v>
      </c>
    </row>
    <row r="8" spans="1:13" ht="23.25">
      <c r="A8" s="19">
        <v>2</v>
      </c>
      <c r="B8" s="20" t="s">
        <v>14</v>
      </c>
      <c r="C8" s="29">
        <v>86</v>
      </c>
      <c r="D8" s="30">
        <v>19099.92763425</v>
      </c>
      <c r="E8" s="23">
        <v>14.154413806170254</v>
      </c>
      <c r="F8" s="24">
        <v>82</v>
      </c>
      <c r="G8" s="25">
        <v>18877.70177203</v>
      </c>
      <c r="H8" s="23">
        <v>13.88390312728781</v>
      </c>
      <c r="I8" s="27">
        <f t="shared" si="0"/>
        <v>222.22586222000245</v>
      </c>
      <c r="J8" s="31">
        <f t="shared" si="1"/>
        <v>1.1771870585923847</v>
      </c>
      <c r="M8" s="68">
        <v>731055044.65</v>
      </c>
    </row>
    <row r="9" spans="1:13" ht="23.25">
      <c r="A9" s="19">
        <v>3</v>
      </c>
      <c r="B9" s="20" t="s">
        <v>15</v>
      </c>
      <c r="C9" s="21">
        <v>44</v>
      </c>
      <c r="D9" s="22">
        <v>17229.71991664</v>
      </c>
      <c r="E9" s="23">
        <v>12.76845599284974</v>
      </c>
      <c r="F9" s="24">
        <v>43</v>
      </c>
      <c r="G9" s="25">
        <v>17049.10962093</v>
      </c>
      <c r="H9" s="23">
        <v>12.53903622602088</v>
      </c>
      <c r="I9" s="27">
        <f t="shared" si="0"/>
        <v>180.61029570999744</v>
      </c>
      <c r="J9" s="31">
        <f t="shared" si="1"/>
        <v>1.0593532432231816</v>
      </c>
      <c r="L9" s="67" t="s">
        <v>52</v>
      </c>
      <c r="M9" s="68">
        <v>16318054576.28</v>
      </c>
    </row>
    <row r="10" spans="1:13" ht="23.25">
      <c r="A10" s="19">
        <v>4</v>
      </c>
      <c r="B10" s="20" t="s">
        <v>16</v>
      </c>
      <c r="C10" s="21">
        <v>51</v>
      </c>
      <c r="D10" s="22">
        <v>14670.96789789</v>
      </c>
      <c r="E10" s="23">
        <v>10.87223755714135</v>
      </c>
      <c r="F10" s="24">
        <v>51</v>
      </c>
      <c r="G10" s="25">
        <v>14763.610638549999</v>
      </c>
      <c r="H10" s="23">
        <v>10.858129998553416</v>
      </c>
      <c r="I10" s="27">
        <f t="shared" si="0"/>
        <v>-92.64274065999962</v>
      </c>
      <c r="J10" s="31">
        <f t="shared" si="1"/>
        <v>-0.6275073417209713</v>
      </c>
      <c r="L10" s="67" t="s">
        <v>53</v>
      </c>
      <c r="M10" s="68">
        <f>M8+M9</f>
        <v>17049109620.93</v>
      </c>
    </row>
    <row r="11" spans="1:10" ht="23.25">
      <c r="A11" s="19">
        <v>5</v>
      </c>
      <c r="B11" s="20" t="s">
        <v>17</v>
      </c>
      <c r="C11" s="29">
        <v>139</v>
      </c>
      <c r="D11" s="30">
        <v>9836.29</v>
      </c>
      <c r="E11" s="23">
        <v>7.289395103666918</v>
      </c>
      <c r="F11" s="24">
        <v>140</v>
      </c>
      <c r="G11" s="25">
        <v>10314.74</v>
      </c>
      <c r="H11" s="23">
        <v>7.586138009413039</v>
      </c>
      <c r="I11" s="27">
        <f t="shared" si="0"/>
        <v>-478.4499999999989</v>
      </c>
      <c r="J11" s="31">
        <f t="shared" si="1"/>
        <v>-4.638507611437602</v>
      </c>
    </row>
    <row r="12" spans="1:10" ht="23.25">
      <c r="A12" s="19">
        <v>6</v>
      </c>
      <c r="B12" s="20" t="s">
        <v>19</v>
      </c>
      <c r="C12" s="29">
        <v>10</v>
      </c>
      <c r="D12" s="30">
        <v>6106.37354</v>
      </c>
      <c r="E12" s="23">
        <v>4.525259969321484</v>
      </c>
      <c r="F12" s="24">
        <v>9</v>
      </c>
      <c r="G12" s="25">
        <v>5904.46787</v>
      </c>
      <c r="H12" s="23">
        <v>4.342533901384335</v>
      </c>
      <c r="I12" s="27">
        <f t="shared" si="0"/>
        <v>201.9056699999992</v>
      </c>
      <c r="J12" s="31">
        <f t="shared" si="1"/>
        <v>3.419540497897555</v>
      </c>
    </row>
    <row r="13" spans="1:10" ht="23.25">
      <c r="A13" s="19">
        <v>7</v>
      </c>
      <c r="B13" s="32" t="s">
        <v>20</v>
      </c>
      <c r="C13" s="33">
        <v>421</v>
      </c>
      <c r="D13" s="34">
        <v>5377.69</v>
      </c>
      <c r="E13" s="23">
        <v>3.985253297232853</v>
      </c>
      <c r="F13" s="24">
        <v>428</v>
      </c>
      <c r="G13" s="25">
        <v>5554.87</v>
      </c>
      <c r="H13" s="23">
        <v>4.085416641073668</v>
      </c>
      <c r="I13" s="27">
        <f t="shared" si="0"/>
        <v>-177.1800000000003</v>
      </c>
      <c r="J13" s="31">
        <f t="shared" si="1"/>
        <v>-3.189633600786342</v>
      </c>
    </row>
    <row r="14" spans="1:10" ht="23.25">
      <c r="A14" s="19">
        <v>8</v>
      </c>
      <c r="B14" s="32" t="s">
        <v>21</v>
      </c>
      <c r="C14" s="40">
        <v>56</v>
      </c>
      <c r="D14" s="66">
        <v>5306.46405143</v>
      </c>
      <c r="E14" s="23">
        <v>3.9324697700330464</v>
      </c>
      <c r="F14" s="24">
        <v>61</v>
      </c>
      <c r="G14" s="25">
        <v>5613.56510529</v>
      </c>
      <c r="H14" s="23">
        <v>4.128584880816693</v>
      </c>
      <c r="I14" s="27">
        <f t="shared" si="0"/>
        <v>-307.1010538600003</v>
      </c>
      <c r="J14" s="31">
        <f t="shared" si="1"/>
        <v>-5.470695504548447</v>
      </c>
    </row>
    <row r="15" spans="1:10" ht="23.25">
      <c r="A15" s="19">
        <v>9</v>
      </c>
      <c r="B15" s="20" t="s">
        <v>18</v>
      </c>
      <c r="C15" s="29">
        <v>76</v>
      </c>
      <c r="D15" s="30">
        <v>3845.12126777</v>
      </c>
      <c r="E15" s="23">
        <v>2.8495101448094933</v>
      </c>
      <c r="F15" s="24">
        <v>74</v>
      </c>
      <c r="G15" s="25">
        <v>4139.459460380001</v>
      </c>
      <c r="H15" s="23">
        <v>3.0444306643515118</v>
      </c>
      <c r="I15" s="27">
        <f t="shared" si="0"/>
        <v>-294.33819261000053</v>
      </c>
      <c r="J15" s="31">
        <f t="shared" si="1"/>
        <v>-7.110546568391333</v>
      </c>
    </row>
    <row r="16" spans="1:10" ht="23.25">
      <c r="A16" s="19">
        <v>10</v>
      </c>
      <c r="B16" s="20" t="s">
        <v>23</v>
      </c>
      <c r="C16" s="29">
        <v>20</v>
      </c>
      <c r="D16" s="30">
        <v>3402.08850058</v>
      </c>
      <c r="E16" s="23">
        <v>2.52119114608957</v>
      </c>
      <c r="F16" s="24">
        <v>19</v>
      </c>
      <c r="G16" s="25">
        <v>3116.62855692</v>
      </c>
      <c r="H16" s="23">
        <v>2.292173564905458</v>
      </c>
      <c r="I16" s="27">
        <f t="shared" si="0"/>
        <v>285.45994366000014</v>
      </c>
      <c r="J16" s="31">
        <f t="shared" si="1"/>
        <v>9.159254574183366</v>
      </c>
    </row>
    <row r="17" spans="1:10" ht="23.25">
      <c r="A17" s="19">
        <v>11</v>
      </c>
      <c r="B17" s="20" t="s">
        <v>22</v>
      </c>
      <c r="C17" s="33">
        <v>59</v>
      </c>
      <c r="D17" s="34">
        <v>3019.04</v>
      </c>
      <c r="E17" s="23">
        <v>2.2373247834066063</v>
      </c>
      <c r="F17" s="24">
        <v>58</v>
      </c>
      <c r="G17" s="25">
        <v>3000.79</v>
      </c>
      <c r="H17" s="23">
        <v>2.206978273545097</v>
      </c>
      <c r="I17" s="27">
        <f t="shared" si="0"/>
        <v>18.25</v>
      </c>
      <c r="J17" s="31">
        <f t="shared" si="1"/>
        <v>0.6081731810623203</v>
      </c>
    </row>
    <row r="18" spans="1:10" ht="23.25">
      <c r="A18" s="19">
        <v>12</v>
      </c>
      <c r="B18" s="20" t="s">
        <v>24</v>
      </c>
      <c r="C18" s="29">
        <v>30</v>
      </c>
      <c r="D18" s="35">
        <v>1693.07184646</v>
      </c>
      <c r="E18" s="23">
        <v>1.2546874510350783</v>
      </c>
      <c r="F18" s="24">
        <v>30</v>
      </c>
      <c r="G18" s="25">
        <v>1698.31930622</v>
      </c>
      <c r="H18" s="23">
        <v>1.2490556854594033</v>
      </c>
      <c r="I18" s="27">
        <f t="shared" si="0"/>
        <v>-5.247459760000083</v>
      </c>
      <c r="J18" s="31">
        <f t="shared" si="1"/>
        <v>-0.30897957414613103</v>
      </c>
    </row>
    <row r="19" spans="1:10" ht="23.25">
      <c r="A19" s="19">
        <v>13</v>
      </c>
      <c r="B19" s="20" t="s">
        <v>30</v>
      </c>
      <c r="C19" s="21">
        <v>42</v>
      </c>
      <c r="D19" s="37">
        <v>1345.7613843699999</v>
      </c>
      <c r="E19" s="23">
        <v>0.9973055334816978</v>
      </c>
      <c r="F19" s="24">
        <v>39</v>
      </c>
      <c r="G19" s="25">
        <v>1157.82626573</v>
      </c>
      <c r="H19" s="23">
        <v>0.8515415650565226</v>
      </c>
      <c r="I19" s="27">
        <f t="shared" si="0"/>
        <v>187.93511863999993</v>
      </c>
      <c r="J19" s="31">
        <f t="shared" si="1"/>
        <v>16.231720095027242</v>
      </c>
    </row>
    <row r="20" spans="1:10" ht="23.25">
      <c r="A20" s="19">
        <v>14</v>
      </c>
      <c r="B20" s="20" t="s">
        <v>25</v>
      </c>
      <c r="C20" s="29">
        <v>3</v>
      </c>
      <c r="D20" s="35">
        <v>1268.89241354</v>
      </c>
      <c r="E20" s="23">
        <v>0.9403401227839534</v>
      </c>
      <c r="F20" s="24">
        <v>4</v>
      </c>
      <c r="G20" s="25">
        <v>1387.06395444</v>
      </c>
      <c r="H20" s="23">
        <v>1.0201380341398854</v>
      </c>
      <c r="I20" s="27">
        <f t="shared" si="0"/>
        <v>-118.17154090000008</v>
      </c>
      <c r="J20" s="31">
        <f t="shared" si="1"/>
        <v>-8.519545225130555</v>
      </c>
    </row>
    <row r="21" spans="1:10" ht="23.25">
      <c r="A21" s="36">
        <v>15</v>
      </c>
      <c r="B21" s="20" t="s">
        <v>26</v>
      </c>
      <c r="C21" s="29">
        <v>36</v>
      </c>
      <c r="D21" s="35">
        <v>1017.55101824</v>
      </c>
      <c r="E21" s="23">
        <v>0.7540781544759194</v>
      </c>
      <c r="F21" s="24">
        <v>36</v>
      </c>
      <c r="G21" s="25">
        <v>1123.95319383</v>
      </c>
      <c r="H21" s="23">
        <v>0.8266290807635426</v>
      </c>
      <c r="I21" s="27">
        <f t="shared" si="0"/>
        <v>-106.40217558999996</v>
      </c>
      <c r="J21" s="31">
        <f t="shared" si="1"/>
        <v>-9.46677994903171</v>
      </c>
    </row>
    <row r="22" spans="1:10" ht="23.25">
      <c r="A22" s="19">
        <v>16</v>
      </c>
      <c r="B22" s="20" t="s">
        <v>43</v>
      </c>
      <c r="C22" s="29">
        <v>2</v>
      </c>
      <c r="D22" s="35">
        <v>1013.6371707000001</v>
      </c>
      <c r="E22" s="23">
        <v>0.7511777132430386</v>
      </c>
      <c r="F22" s="24">
        <v>2</v>
      </c>
      <c r="G22" s="25">
        <v>1064.39057669</v>
      </c>
      <c r="H22" s="23">
        <v>0.7828228157655039</v>
      </c>
      <c r="I22" s="27">
        <f t="shared" si="0"/>
        <v>-50.75340598999992</v>
      </c>
      <c r="J22" s="31">
        <f t="shared" si="1"/>
        <v>-4.768306587966127</v>
      </c>
    </row>
    <row r="23" spans="1:10" ht="23.25">
      <c r="A23" s="19">
        <v>17</v>
      </c>
      <c r="B23" s="32" t="s">
        <v>28</v>
      </c>
      <c r="C23" s="29">
        <v>162</v>
      </c>
      <c r="D23" s="35">
        <v>949.35093183</v>
      </c>
      <c r="E23" s="23">
        <v>0.7035370077685008</v>
      </c>
      <c r="F23" s="24">
        <v>162</v>
      </c>
      <c r="G23" s="25">
        <v>921.16112238</v>
      </c>
      <c r="H23" s="23">
        <v>0.6774824574618938</v>
      </c>
      <c r="I23" s="27">
        <f t="shared" si="0"/>
        <v>28.189809449999984</v>
      </c>
      <c r="J23" s="31">
        <f t="shared" si="1"/>
        <v>3.060247416561187</v>
      </c>
    </row>
    <row r="24" spans="1:10" ht="23.25">
      <c r="A24" s="19">
        <v>18</v>
      </c>
      <c r="B24" s="20" t="s">
        <v>29</v>
      </c>
      <c r="C24" s="29">
        <v>18</v>
      </c>
      <c r="D24" s="35">
        <v>726.999</v>
      </c>
      <c r="E24" s="23">
        <v>0.5387583073466465</v>
      </c>
      <c r="F24" s="24">
        <v>18</v>
      </c>
      <c r="G24" s="25">
        <v>786.724</v>
      </c>
      <c r="H24" s="23">
        <v>0.5786085581718458</v>
      </c>
      <c r="I24" s="27">
        <f t="shared" si="0"/>
        <v>-59.72500000000002</v>
      </c>
      <c r="J24" s="31">
        <f t="shared" si="1"/>
        <v>-7.591607730284067</v>
      </c>
    </row>
    <row r="25" spans="1:10" ht="23.25">
      <c r="A25" s="38">
        <v>19</v>
      </c>
      <c r="B25" s="20" t="s">
        <v>33</v>
      </c>
      <c r="C25" s="21">
        <v>8</v>
      </c>
      <c r="D25" s="37">
        <v>605.2487769500001</v>
      </c>
      <c r="E25" s="23">
        <v>0.44853267555142445</v>
      </c>
      <c r="F25" s="24">
        <v>6</v>
      </c>
      <c r="G25" s="25">
        <v>577.56792565</v>
      </c>
      <c r="H25" s="23">
        <v>0.42478142869246427</v>
      </c>
      <c r="I25" s="27">
        <f t="shared" si="0"/>
        <v>27.680851300000086</v>
      </c>
      <c r="J25" s="31">
        <f t="shared" si="1"/>
        <v>4.792657291148537</v>
      </c>
    </row>
    <row r="26" spans="1:10" ht="23.25">
      <c r="A26" s="38">
        <v>20</v>
      </c>
      <c r="B26" s="20" t="s">
        <v>31</v>
      </c>
      <c r="C26" s="33">
        <v>1</v>
      </c>
      <c r="D26" s="39">
        <v>205.39554414</v>
      </c>
      <c r="E26" s="23">
        <v>0.1522128031777345</v>
      </c>
      <c r="F26" s="24">
        <v>1</v>
      </c>
      <c r="G26" s="25">
        <v>205.16883113</v>
      </c>
      <c r="H26" s="23">
        <v>0.15089464864670735</v>
      </c>
      <c r="I26" s="27">
        <f t="shared" si="0"/>
        <v>0.22671300999999744</v>
      </c>
      <c r="J26" s="31">
        <f t="shared" si="1"/>
        <v>0.11050070751553218</v>
      </c>
    </row>
    <row r="27" spans="1:10" ht="23.25">
      <c r="A27" s="38">
        <v>21</v>
      </c>
      <c r="B27" s="20" t="s">
        <v>35</v>
      </c>
      <c r="C27" s="40">
        <v>2</v>
      </c>
      <c r="D27" s="41">
        <v>138.49994138</v>
      </c>
      <c r="E27" s="23">
        <v>0.10263837224741514</v>
      </c>
      <c r="F27" s="63">
        <v>2</v>
      </c>
      <c r="G27" s="25">
        <v>144.83850077000002</v>
      </c>
      <c r="H27" s="42">
        <v>0.10652375686810303</v>
      </c>
      <c r="I27" s="27">
        <f t="shared" si="0"/>
        <v>-6.338559390000029</v>
      </c>
      <c r="J27" s="31">
        <f t="shared" si="1"/>
        <v>-4.376294532394743</v>
      </c>
    </row>
    <row r="28" spans="1:10" ht="23.25">
      <c r="A28" s="38">
        <v>22</v>
      </c>
      <c r="B28" s="20" t="s">
        <v>32</v>
      </c>
      <c r="C28" s="40">
        <v>1</v>
      </c>
      <c r="D28" s="41">
        <v>7.75</v>
      </c>
      <c r="E28" s="23">
        <v>0.005743304849025253</v>
      </c>
      <c r="F28" s="24">
        <v>1</v>
      </c>
      <c r="G28" s="25">
        <v>8.04</v>
      </c>
      <c r="H28" s="42">
        <v>0.005913144645011007</v>
      </c>
      <c r="I28" s="27">
        <f t="shared" si="0"/>
        <v>-0.28999999999999915</v>
      </c>
      <c r="J28" s="31">
        <f t="shared" si="1"/>
        <v>-3.606965174129343</v>
      </c>
    </row>
    <row r="29" spans="1:10" ht="23.25">
      <c r="A29" s="38">
        <v>23</v>
      </c>
      <c r="B29" s="20" t="s">
        <v>48</v>
      </c>
      <c r="C29" s="40"/>
      <c r="D29" s="41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49</v>
      </c>
      <c r="C30" s="40"/>
      <c r="D30" s="41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4" thickBot="1">
      <c r="A31" s="38">
        <v>25</v>
      </c>
      <c r="B31" s="20" t="s">
        <v>44</v>
      </c>
      <c r="C31" s="40"/>
      <c r="D31" s="41"/>
      <c r="E31" s="23">
        <v>0</v>
      </c>
      <c r="F31" s="63"/>
      <c r="G31" s="25"/>
      <c r="H31" s="42">
        <v>0</v>
      </c>
      <c r="I31" s="27">
        <f t="shared" si="0"/>
        <v>0</v>
      </c>
      <c r="J31" s="31">
        <v>0</v>
      </c>
    </row>
    <row r="32" spans="1:11" ht="24" thickBot="1">
      <c r="A32" s="72" t="s">
        <v>36</v>
      </c>
      <c r="B32" s="73"/>
      <c r="C32" s="43">
        <f aca="true" t="shared" si="2" ref="C32:I32">SUM(C7:C31)</f>
        <v>1500</v>
      </c>
      <c r="D32" s="44">
        <f t="shared" si="2"/>
        <v>134939.72901883</v>
      </c>
      <c r="E32" s="45">
        <f t="shared" si="2"/>
        <v>99.99999999999999</v>
      </c>
      <c r="F32" s="43">
        <f t="shared" si="2"/>
        <v>1500</v>
      </c>
      <c r="G32" s="46">
        <f t="shared" si="2"/>
        <v>135968.26194305</v>
      </c>
      <c r="H32" s="47">
        <f t="shared" si="2"/>
        <v>99.99999999999999</v>
      </c>
      <c r="I32" s="48">
        <f t="shared" si="2"/>
        <v>-1028.5329242199953</v>
      </c>
      <c r="J32" s="65">
        <f>(D32-G32)/G32*100</f>
        <v>-0.7564507404314647</v>
      </c>
      <c r="K32" s="50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54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8:10" ht="21">
      <c r="H36" s="59"/>
      <c r="J36" s="60"/>
    </row>
    <row r="37" spans="8:10" ht="21">
      <c r="H37" s="59"/>
      <c r="J37" s="60"/>
    </row>
    <row r="39" spans="2:6" ht="21">
      <c r="B39" s="1"/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0.984251968503937" right="0.984251968503937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3.421875" style="58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8.28125" style="69" hidden="1" customWidth="1"/>
    <col min="16" max="16" width="9.8515625" style="1" customWidth="1"/>
    <col min="17" max="17" width="11.7109375" style="1" customWidth="1"/>
    <col min="18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55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56</v>
      </c>
      <c r="D4" s="77"/>
      <c r="E4" s="78"/>
      <c r="F4" s="76" t="s">
        <v>51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235</v>
      </c>
      <c r="D7" s="30">
        <v>42028.69234832</v>
      </c>
      <c r="E7" s="23">
        <v>30.77759394699553</v>
      </c>
      <c r="F7" s="24">
        <v>233</v>
      </c>
      <c r="G7" s="25">
        <v>38073.888182660005</v>
      </c>
      <c r="H7" s="26">
        <v>28.21547698331826</v>
      </c>
      <c r="I7" s="27">
        <f aca="true" t="shared" si="0" ref="I7:I31">(D7-G7)</f>
        <v>3954.804165659996</v>
      </c>
      <c r="J7" s="28">
        <f aca="true" t="shared" si="1" ref="J7:J28">(D7-G7)/G7*100</f>
        <v>10.387182277488364</v>
      </c>
      <c r="O7" s="69">
        <v>42028692348.32</v>
      </c>
    </row>
    <row r="8" spans="1:15" ht="23.25">
      <c r="A8" s="19">
        <v>2</v>
      </c>
      <c r="B8" s="20" t="s">
        <v>14</v>
      </c>
      <c r="C8" s="29">
        <v>88</v>
      </c>
      <c r="D8" s="30">
        <v>19113.17689148</v>
      </c>
      <c r="E8" s="23">
        <v>13.996571497580367</v>
      </c>
      <c r="F8" s="24">
        <v>86</v>
      </c>
      <c r="G8" s="25">
        <v>19099.92763425</v>
      </c>
      <c r="H8" s="23">
        <v>14.154413806170258</v>
      </c>
      <c r="I8" s="27">
        <f t="shared" si="0"/>
        <v>13.249257229999785</v>
      </c>
      <c r="J8" s="31">
        <f t="shared" si="1"/>
        <v>0.06936810172118772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44</v>
      </c>
      <c r="D9" s="30">
        <v>17409.731886600002</v>
      </c>
      <c r="E9" s="23">
        <v>12.749139428156726</v>
      </c>
      <c r="F9" s="24">
        <v>44</v>
      </c>
      <c r="G9" s="25">
        <v>17229.71991664</v>
      </c>
      <c r="H9" s="23">
        <v>12.768455992849741</v>
      </c>
      <c r="I9" s="27">
        <f t="shared" si="0"/>
        <v>180.01196996000363</v>
      </c>
      <c r="J9" s="31">
        <f t="shared" si="1"/>
        <v>1.0447759501078884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51</v>
      </c>
      <c r="D10" s="30">
        <v>14770.16659319</v>
      </c>
      <c r="E10" s="23">
        <v>10.816186860328319</v>
      </c>
      <c r="F10" s="24">
        <v>51</v>
      </c>
      <c r="G10" s="25">
        <v>14670.96789789</v>
      </c>
      <c r="H10" s="23">
        <v>10.872237557141352</v>
      </c>
      <c r="I10" s="27">
        <f t="shared" si="0"/>
        <v>99.19869530000142</v>
      </c>
      <c r="J10" s="31">
        <f t="shared" si="1"/>
        <v>0.6761564471439429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139</v>
      </c>
      <c r="D11" s="30">
        <v>9713.24</v>
      </c>
      <c r="E11" s="23">
        <v>7.113001616898146</v>
      </c>
      <c r="F11" s="24">
        <v>139</v>
      </c>
      <c r="G11" s="25">
        <v>9836.29</v>
      </c>
      <c r="H11" s="23">
        <v>7.289395103666919</v>
      </c>
      <c r="I11" s="27">
        <f t="shared" si="0"/>
        <v>-123.05000000000109</v>
      </c>
      <c r="J11" s="31">
        <f t="shared" si="1"/>
        <v>-1.250979790144466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6142.8975199999995</v>
      </c>
      <c r="E12" s="23">
        <v>4.498441301995998</v>
      </c>
      <c r="F12" s="24">
        <v>10</v>
      </c>
      <c r="G12" s="25">
        <v>6106.37354</v>
      </c>
      <c r="H12" s="23">
        <v>4.5252599693214846</v>
      </c>
      <c r="I12" s="27">
        <f t="shared" si="0"/>
        <v>36.52397999999994</v>
      </c>
      <c r="J12" s="31">
        <f t="shared" si="1"/>
        <v>0.598128820006644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410</v>
      </c>
      <c r="D13" s="30">
        <v>5324.85</v>
      </c>
      <c r="E13" s="23">
        <v>3.8993854429356314</v>
      </c>
      <c r="F13" s="24">
        <v>421</v>
      </c>
      <c r="G13" s="25">
        <v>5377.69</v>
      </c>
      <c r="H13" s="23">
        <v>3.985253297232854</v>
      </c>
      <c r="I13" s="27">
        <f t="shared" si="0"/>
        <v>-52.839999999999236</v>
      </c>
      <c r="J13" s="31">
        <f t="shared" si="1"/>
        <v>-0.982578021418104</v>
      </c>
      <c r="O13" s="69">
        <v>5324.85</v>
      </c>
    </row>
    <row r="14" spans="1:15" ht="23.25">
      <c r="A14" s="19">
        <v>8</v>
      </c>
      <c r="B14" s="32" t="s">
        <v>23</v>
      </c>
      <c r="C14" s="33">
        <v>23</v>
      </c>
      <c r="D14" s="30">
        <v>3853.2899628699997</v>
      </c>
      <c r="E14" s="23">
        <v>2.821762639064998</v>
      </c>
      <c r="F14" s="24">
        <v>20</v>
      </c>
      <c r="G14" s="25">
        <v>3402.08850058</v>
      </c>
      <c r="H14" s="23">
        <v>2.5211911460895706</v>
      </c>
      <c r="I14" s="27">
        <f t="shared" si="0"/>
        <v>451.20146228999965</v>
      </c>
      <c r="J14" s="31">
        <f t="shared" si="1"/>
        <v>13.262484565380273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74</v>
      </c>
      <c r="D15" s="30">
        <v>3643.00541719</v>
      </c>
      <c r="E15" s="23">
        <v>2.6677713536205396</v>
      </c>
      <c r="F15" s="24">
        <v>76</v>
      </c>
      <c r="G15" s="25">
        <v>3845.12126777</v>
      </c>
      <c r="H15" s="23">
        <v>2.8495101448094933</v>
      </c>
      <c r="I15" s="27">
        <f t="shared" si="0"/>
        <v>-202.11585057999991</v>
      </c>
      <c r="J15" s="31">
        <f t="shared" si="1"/>
        <v>-5.256423309042166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59</v>
      </c>
      <c r="D16" s="30">
        <v>2994.93</v>
      </c>
      <c r="E16" s="23">
        <v>2.1931859948376404</v>
      </c>
      <c r="F16" s="24">
        <v>59</v>
      </c>
      <c r="G16" s="25">
        <v>3019.04</v>
      </c>
      <c r="H16" s="23">
        <v>2.237324783406607</v>
      </c>
      <c r="I16" s="27">
        <f t="shared" si="0"/>
        <v>-24.110000000000127</v>
      </c>
      <c r="J16" s="31">
        <f t="shared" si="1"/>
        <v>-0.7985982299008999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56</v>
      </c>
      <c r="D17" s="30">
        <v>2449.0990355</v>
      </c>
      <c r="E17" s="23">
        <v>1.7934742062849458</v>
      </c>
      <c r="F17" s="24">
        <v>56</v>
      </c>
      <c r="G17" s="25">
        <v>5306.46405143</v>
      </c>
      <c r="H17" s="23">
        <v>3.9324697700330473</v>
      </c>
      <c r="I17" s="27">
        <f t="shared" si="0"/>
        <v>-2857.36501593</v>
      </c>
      <c r="J17" s="31">
        <f t="shared" si="1"/>
        <v>-53.84687408105572</v>
      </c>
      <c r="O17" s="69">
        <v>2994.93</v>
      </c>
    </row>
    <row r="18" spans="1:15" ht="23.25">
      <c r="A18" s="19">
        <v>12</v>
      </c>
      <c r="B18" s="20" t="s">
        <v>24</v>
      </c>
      <c r="C18" s="29">
        <v>32</v>
      </c>
      <c r="D18" s="30">
        <v>1749.88338011</v>
      </c>
      <c r="E18" s="23">
        <v>1.2814388723130101</v>
      </c>
      <c r="F18" s="24">
        <v>30</v>
      </c>
      <c r="G18" s="25">
        <v>1693.07184646</v>
      </c>
      <c r="H18" s="23">
        <v>1.2546874510350785</v>
      </c>
      <c r="I18" s="27">
        <f t="shared" si="0"/>
        <v>56.81153365</v>
      </c>
      <c r="J18" s="31">
        <f t="shared" si="1"/>
        <v>3.3555299953032565</v>
      </c>
      <c r="O18" s="69">
        <v>1749883380.11</v>
      </c>
    </row>
    <row r="19" spans="1:15" ht="23.25">
      <c r="A19" s="19">
        <v>13</v>
      </c>
      <c r="B19" s="20" t="s">
        <v>30</v>
      </c>
      <c r="C19" s="21">
        <v>42</v>
      </c>
      <c r="D19" s="30">
        <v>1459.91248226</v>
      </c>
      <c r="E19" s="23">
        <v>1.0690933042779922</v>
      </c>
      <c r="F19" s="24">
        <v>42</v>
      </c>
      <c r="G19" s="25">
        <v>1345.7613843699999</v>
      </c>
      <c r="H19" s="23">
        <v>0.9973055334816979</v>
      </c>
      <c r="I19" s="27">
        <f t="shared" si="0"/>
        <v>114.15109789000007</v>
      </c>
      <c r="J19" s="31">
        <f t="shared" si="1"/>
        <v>8.482268789681344</v>
      </c>
      <c r="O19" s="69">
        <v>1459912482.26</v>
      </c>
    </row>
    <row r="20" spans="1:15" ht="23.25">
      <c r="A20" s="19">
        <v>14</v>
      </c>
      <c r="B20" s="20" t="s">
        <v>25</v>
      </c>
      <c r="C20" s="29">
        <v>4</v>
      </c>
      <c r="D20" s="30">
        <v>1300.2718988499998</v>
      </c>
      <c r="E20" s="23">
        <v>0.9521885713651954</v>
      </c>
      <c r="F20" s="24">
        <v>3</v>
      </c>
      <c r="G20" s="25">
        <v>1268.89241354</v>
      </c>
      <c r="H20" s="23">
        <v>0.9403401227839536</v>
      </c>
      <c r="I20" s="27">
        <f t="shared" si="0"/>
        <v>31.379485309999836</v>
      </c>
      <c r="J20" s="31">
        <f t="shared" si="1"/>
        <v>2.472982340753087</v>
      </c>
      <c r="O20" s="69">
        <v>1270273879.19</v>
      </c>
    </row>
    <row r="21" spans="1:15" ht="23.25">
      <c r="A21" s="36">
        <v>15</v>
      </c>
      <c r="B21" s="20" t="s">
        <v>43</v>
      </c>
      <c r="C21" s="29">
        <v>2</v>
      </c>
      <c r="D21" s="30">
        <v>1002.23690399</v>
      </c>
      <c r="E21" s="23">
        <v>0.7339376684397648</v>
      </c>
      <c r="F21" s="24">
        <v>2</v>
      </c>
      <c r="G21" s="25">
        <v>1013.6371707000001</v>
      </c>
      <c r="H21" s="23">
        <v>0.7511777132430387</v>
      </c>
      <c r="I21" s="27">
        <f t="shared" si="0"/>
        <v>-11.400266710000096</v>
      </c>
      <c r="J21" s="31">
        <f t="shared" si="1"/>
        <v>-1.1246890938428464</v>
      </c>
      <c r="O21" s="69">
        <v>959943746.57</v>
      </c>
    </row>
    <row r="22" spans="1:15" ht="23.25">
      <c r="A22" s="19">
        <v>16</v>
      </c>
      <c r="B22" s="20" t="s">
        <v>26</v>
      </c>
      <c r="C22" s="29">
        <v>35</v>
      </c>
      <c r="D22" s="30">
        <v>959.94374657</v>
      </c>
      <c r="E22" s="23">
        <v>0.7029664068306429</v>
      </c>
      <c r="F22" s="24">
        <v>36</v>
      </c>
      <c r="G22" s="25">
        <v>1017.55101824</v>
      </c>
      <c r="H22" s="23">
        <v>0.7540781544759196</v>
      </c>
      <c r="I22" s="27">
        <f t="shared" si="0"/>
        <v>-57.60727166999993</v>
      </c>
      <c r="J22" s="31">
        <f t="shared" si="1"/>
        <v>-5.661364456166527</v>
      </c>
      <c r="O22" s="69">
        <v>1002236903.99</v>
      </c>
    </row>
    <row r="23" spans="1:15" ht="23.25">
      <c r="A23" s="19">
        <v>17</v>
      </c>
      <c r="B23" s="32" t="s">
        <v>28</v>
      </c>
      <c r="C23" s="29">
        <v>163</v>
      </c>
      <c r="D23" s="30">
        <v>948.30531491</v>
      </c>
      <c r="E23" s="23">
        <v>0.6944435881608954</v>
      </c>
      <c r="F23" s="24">
        <v>162</v>
      </c>
      <c r="G23" s="25">
        <v>949.35093183</v>
      </c>
      <c r="H23" s="23">
        <v>0.703537007768501</v>
      </c>
      <c r="I23" s="27">
        <f t="shared" si="0"/>
        <v>-1.0456169200000431</v>
      </c>
      <c r="J23" s="31">
        <f t="shared" si="1"/>
        <v>-0.11014018999112136</v>
      </c>
      <c r="O23" s="69">
        <v>948305314.91</v>
      </c>
    </row>
    <row r="24" spans="1:15" ht="23.25">
      <c r="A24" s="19">
        <v>18</v>
      </c>
      <c r="B24" s="20" t="s">
        <v>29</v>
      </c>
      <c r="C24" s="29">
        <v>19</v>
      </c>
      <c r="D24" s="30">
        <v>739.942</v>
      </c>
      <c r="E24" s="23">
        <v>0.5418592192111847</v>
      </c>
      <c r="F24" s="24">
        <v>18</v>
      </c>
      <c r="G24" s="25">
        <v>726.999</v>
      </c>
      <c r="H24" s="23">
        <v>0.5387583073466466</v>
      </c>
      <c r="I24" s="27">
        <f t="shared" si="0"/>
        <v>12.942999999999984</v>
      </c>
      <c r="J24" s="31">
        <f t="shared" si="1"/>
        <v>1.780332572672037</v>
      </c>
      <c r="O24" s="69">
        <v>739942</v>
      </c>
    </row>
    <row r="25" spans="1:15" ht="23.25">
      <c r="A25" s="38">
        <v>19</v>
      </c>
      <c r="B25" s="20" t="s">
        <v>33</v>
      </c>
      <c r="C25" s="21">
        <v>8</v>
      </c>
      <c r="D25" s="30">
        <v>603.86889065</v>
      </c>
      <c r="E25" s="23">
        <v>0.4422129377620588</v>
      </c>
      <c r="F25" s="24">
        <v>8</v>
      </c>
      <c r="G25" s="25">
        <v>605.2487769500001</v>
      </c>
      <c r="H25" s="23">
        <v>0.4485326755514245</v>
      </c>
      <c r="I25" s="27">
        <f t="shared" si="0"/>
        <v>-1.3798863000000665</v>
      </c>
      <c r="J25" s="31">
        <f t="shared" si="1"/>
        <v>-0.22798663170434785</v>
      </c>
      <c r="O25" s="69">
        <v>603868890.65</v>
      </c>
    </row>
    <row r="26" spans="1:15" ht="23.25">
      <c r="A26" s="38">
        <v>20</v>
      </c>
      <c r="B26" s="20" t="s">
        <v>31</v>
      </c>
      <c r="C26" s="33">
        <v>1</v>
      </c>
      <c r="D26" s="30">
        <v>205.25164286</v>
      </c>
      <c r="E26" s="23">
        <v>0.15030569280015532</v>
      </c>
      <c r="F26" s="24">
        <v>1</v>
      </c>
      <c r="G26" s="25">
        <v>205.39554414</v>
      </c>
      <c r="H26" s="23">
        <v>0.15221280317773456</v>
      </c>
      <c r="I26" s="27">
        <f t="shared" si="0"/>
        <v>-0.14390127999999436</v>
      </c>
      <c r="J26" s="31">
        <f t="shared" si="1"/>
        <v>-0.07006056562839044</v>
      </c>
      <c r="O26" s="69">
        <v>205251642.86</v>
      </c>
    </row>
    <row r="27" spans="1:15" ht="23.25">
      <c r="A27" s="38">
        <v>21</v>
      </c>
      <c r="B27" s="20" t="s">
        <v>59</v>
      </c>
      <c r="C27" s="40">
        <v>2</v>
      </c>
      <c r="D27" s="30">
        <v>135.737812</v>
      </c>
      <c r="E27" s="23">
        <v>0.09940074333901112</v>
      </c>
      <c r="F27" s="63">
        <v>2</v>
      </c>
      <c r="G27" s="25">
        <v>138.49994138</v>
      </c>
      <c r="H27" s="42">
        <v>0.10263837224741515</v>
      </c>
      <c r="I27" s="27">
        <f t="shared" si="0"/>
        <v>-2.7621293800000046</v>
      </c>
      <c r="J27" s="31">
        <f t="shared" si="1"/>
        <v>-1.9943180859705898</v>
      </c>
      <c r="O27" s="69">
        <v>135737812</v>
      </c>
    </row>
    <row r="28" spans="1:10" ht="23.25">
      <c r="A28" s="38">
        <v>22</v>
      </c>
      <c r="B28" s="20" t="s">
        <v>32</v>
      </c>
      <c r="C28" s="40">
        <v>1</v>
      </c>
      <c r="D28" s="30">
        <v>7.7</v>
      </c>
      <c r="E28" s="23">
        <v>0.005638706801244046</v>
      </c>
      <c r="F28" s="24">
        <v>1</v>
      </c>
      <c r="G28" s="25">
        <v>7.75</v>
      </c>
      <c r="H28" s="42">
        <v>0.005743304849025255</v>
      </c>
      <c r="I28" s="27">
        <f t="shared" si="0"/>
        <v>-0.04999999999999982</v>
      </c>
      <c r="J28" s="31">
        <f t="shared" si="1"/>
        <v>-0.6451612903225784</v>
      </c>
    </row>
    <row r="29" spans="1:10" ht="23.25">
      <c r="A29" s="38">
        <v>23</v>
      </c>
      <c r="B29" s="20" t="s">
        <v>60</v>
      </c>
      <c r="C29" s="40"/>
      <c r="D29" s="41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61</v>
      </c>
      <c r="C30" s="40"/>
      <c r="D30" s="41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4" thickBot="1">
      <c r="A31" s="38">
        <v>25</v>
      </c>
      <c r="B31" s="20" t="s">
        <v>62</v>
      </c>
      <c r="C31" s="40"/>
      <c r="D31" s="41"/>
      <c r="E31" s="23">
        <v>0</v>
      </c>
      <c r="F31" s="63"/>
      <c r="G31" s="25"/>
      <c r="H31" s="42">
        <v>0</v>
      </c>
      <c r="I31" s="27">
        <f t="shared" si="0"/>
        <v>0</v>
      </c>
      <c r="J31" s="31">
        <v>0</v>
      </c>
    </row>
    <row r="32" spans="1:11" ht="24" thickBot="1">
      <c r="A32" s="72" t="s">
        <v>36</v>
      </c>
      <c r="B32" s="73"/>
      <c r="C32" s="43">
        <f aca="true" t="shared" si="2" ref="C32:I32">SUM(C7:C31)</f>
        <v>1498</v>
      </c>
      <c r="D32" s="44">
        <f t="shared" si="2"/>
        <v>136556.13372735</v>
      </c>
      <c r="E32" s="45">
        <f t="shared" si="2"/>
        <v>100</v>
      </c>
      <c r="F32" s="43">
        <f t="shared" si="2"/>
        <v>1500</v>
      </c>
      <c r="G32" s="46">
        <f t="shared" si="2"/>
        <v>134939.72901882997</v>
      </c>
      <c r="H32" s="47">
        <f t="shared" si="2"/>
        <v>100</v>
      </c>
      <c r="I32" s="48">
        <f t="shared" si="2"/>
        <v>1616.4047085200002</v>
      </c>
      <c r="J32" s="65">
        <f>(D32-G32)/G32*100</f>
        <v>1.1978716129587639</v>
      </c>
      <c r="K32" s="50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63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2:10" ht="21">
      <c r="B36" s="1"/>
      <c r="H36" s="59"/>
      <c r="J36" s="60"/>
    </row>
    <row r="37" spans="8:10" ht="21">
      <c r="H37" s="59"/>
      <c r="J37" s="60"/>
    </row>
    <row r="39" ht="21"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8.28125" style="69" hidden="1" customWidth="1"/>
    <col min="16" max="16" width="11.7109375" style="1" customWidth="1"/>
    <col min="17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64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65</v>
      </c>
      <c r="D4" s="77"/>
      <c r="E4" s="78"/>
      <c r="F4" s="76" t="s">
        <v>56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235</v>
      </c>
      <c r="D7" s="30">
        <v>42116.42226221</v>
      </c>
      <c r="E7" s="23">
        <v>30.87854853569886</v>
      </c>
      <c r="F7" s="24">
        <v>235</v>
      </c>
      <c r="G7" s="25">
        <v>42028.69234832</v>
      </c>
      <c r="H7" s="26">
        <v>30.77759394699553</v>
      </c>
      <c r="I7" s="27">
        <f aca="true" t="shared" si="0" ref="I7:I31">(D7-G7)</f>
        <v>87.72991388999799</v>
      </c>
      <c r="J7" s="28">
        <f aca="true" t="shared" si="1" ref="J7:J28">(D7-G7)/G7*100</f>
        <v>0.2087381476514217</v>
      </c>
      <c r="O7" s="69">
        <v>42028692348.32</v>
      </c>
    </row>
    <row r="8" spans="1:15" ht="23.25">
      <c r="A8" s="19">
        <v>2</v>
      </c>
      <c r="B8" s="20" t="s">
        <v>14</v>
      </c>
      <c r="C8" s="29">
        <v>92</v>
      </c>
      <c r="D8" s="30">
        <v>18949.19581009</v>
      </c>
      <c r="E8" s="23">
        <v>13.893004939770071</v>
      </c>
      <c r="F8" s="24">
        <v>88</v>
      </c>
      <c r="G8" s="25">
        <v>19113.17689148</v>
      </c>
      <c r="H8" s="23">
        <v>13.996571497580367</v>
      </c>
      <c r="I8" s="27">
        <f t="shared" si="0"/>
        <v>-163.98108139000033</v>
      </c>
      <c r="J8" s="31">
        <f t="shared" si="1"/>
        <v>-0.8579478038687407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43</v>
      </c>
      <c r="D9" s="30">
        <v>17440.5910753</v>
      </c>
      <c r="E9" s="23">
        <v>12.786939371465698</v>
      </c>
      <c r="F9" s="24">
        <v>44</v>
      </c>
      <c r="G9" s="25">
        <v>17409.731886600002</v>
      </c>
      <c r="H9" s="23">
        <v>12.749139428156726</v>
      </c>
      <c r="I9" s="27">
        <f t="shared" si="0"/>
        <v>30.859188699996594</v>
      </c>
      <c r="J9" s="31">
        <f t="shared" si="1"/>
        <v>0.1772525211818364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52</v>
      </c>
      <c r="D10" s="30">
        <v>14805.12464549</v>
      </c>
      <c r="E10" s="23">
        <v>10.854691243634747</v>
      </c>
      <c r="F10" s="24">
        <v>51</v>
      </c>
      <c r="G10" s="25">
        <v>14770.16659319</v>
      </c>
      <c r="H10" s="23">
        <v>10.816186860328319</v>
      </c>
      <c r="I10" s="27">
        <f t="shared" si="0"/>
        <v>34.9580522999986</v>
      </c>
      <c r="J10" s="31">
        <f t="shared" si="1"/>
        <v>0.23668014899788956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129</v>
      </c>
      <c r="D11" s="30">
        <v>9617.8</v>
      </c>
      <c r="E11" s="23">
        <v>7.051494124018233</v>
      </c>
      <c r="F11" s="24">
        <v>139</v>
      </c>
      <c r="G11" s="25">
        <v>9713.24</v>
      </c>
      <c r="H11" s="23">
        <v>7.113001616898146</v>
      </c>
      <c r="I11" s="27">
        <f t="shared" si="0"/>
        <v>-95.44000000000051</v>
      </c>
      <c r="J11" s="31">
        <f t="shared" si="1"/>
        <v>-0.9825763596904896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6156.74122</v>
      </c>
      <c r="E12" s="23">
        <v>4.5139454486401105</v>
      </c>
      <c r="F12" s="24">
        <v>10</v>
      </c>
      <c r="G12" s="25">
        <v>6142.8975199999995</v>
      </c>
      <c r="H12" s="23">
        <v>4.498441301995998</v>
      </c>
      <c r="I12" s="27">
        <f t="shared" si="0"/>
        <v>13.843700000000354</v>
      </c>
      <c r="J12" s="31">
        <f t="shared" si="1"/>
        <v>0.22536107683594164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410</v>
      </c>
      <c r="D13" s="30">
        <v>5359.58</v>
      </c>
      <c r="E13" s="23">
        <v>3.9294897873947936</v>
      </c>
      <c r="F13" s="24">
        <v>410</v>
      </c>
      <c r="G13" s="25">
        <v>5324.85</v>
      </c>
      <c r="H13" s="23">
        <v>3.8993854429356314</v>
      </c>
      <c r="I13" s="27">
        <f t="shared" si="0"/>
        <v>34.72999999999956</v>
      </c>
      <c r="J13" s="31">
        <f t="shared" si="1"/>
        <v>0.6522249453036154</v>
      </c>
      <c r="O13" s="69">
        <v>5324.85</v>
      </c>
    </row>
    <row r="14" spans="1:15" ht="23.25">
      <c r="A14" s="19">
        <v>8</v>
      </c>
      <c r="B14" s="32" t="s">
        <v>23</v>
      </c>
      <c r="C14" s="33">
        <v>23</v>
      </c>
      <c r="D14" s="30">
        <v>4016.1143459600003</v>
      </c>
      <c r="E14" s="23">
        <v>2.9444994397806434</v>
      </c>
      <c r="F14" s="24">
        <v>23</v>
      </c>
      <c r="G14" s="25">
        <v>3853.2899628699997</v>
      </c>
      <c r="H14" s="23">
        <v>2.821762639064998</v>
      </c>
      <c r="I14" s="27">
        <f t="shared" si="0"/>
        <v>162.82438309000054</v>
      </c>
      <c r="J14" s="31">
        <f t="shared" si="1"/>
        <v>4.225593834332831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72</v>
      </c>
      <c r="D15" s="30">
        <v>3604.8520770500004</v>
      </c>
      <c r="E15" s="23">
        <v>2.6429737818703867</v>
      </c>
      <c r="F15" s="24">
        <v>74</v>
      </c>
      <c r="G15" s="25">
        <v>3643.00541719</v>
      </c>
      <c r="H15" s="23">
        <v>2.6677713536205396</v>
      </c>
      <c r="I15" s="27">
        <f t="shared" si="0"/>
        <v>-38.15334013999973</v>
      </c>
      <c r="J15" s="31">
        <f t="shared" si="1"/>
        <v>-1.0473039639185868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60</v>
      </c>
      <c r="D16" s="30">
        <v>2928.15</v>
      </c>
      <c r="E16" s="23">
        <v>2.146835296974775</v>
      </c>
      <c r="F16" s="24">
        <v>59</v>
      </c>
      <c r="G16" s="25">
        <v>2994.93</v>
      </c>
      <c r="H16" s="23">
        <v>2.1931859948376404</v>
      </c>
      <c r="I16" s="27">
        <f t="shared" si="0"/>
        <v>-66.77999999999975</v>
      </c>
      <c r="J16" s="31">
        <f t="shared" si="1"/>
        <v>-2.2297683084412574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55</v>
      </c>
      <c r="D17" s="30">
        <v>2266.82230593</v>
      </c>
      <c r="E17" s="23">
        <v>1.6619688671482935</v>
      </c>
      <c r="F17" s="24">
        <v>56</v>
      </c>
      <c r="G17" s="25">
        <v>2449.0990355</v>
      </c>
      <c r="H17" s="23">
        <v>1.7934742062849458</v>
      </c>
      <c r="I17" s="27">
        <f t="shared" si="0"/>
        <v>-182.27672957000004</v>
      </c>
      <c r="J17" s="31">
        <f t="shared" si="1"/>
        <v>-7.442603460614529</v>
      </c>
      <c r="O17" s="69">
        <v>2994.93</v>
      </c>
    </row>
    <row r="18" spans="1:15" ht="23.25">
      <c r="A18" s="19">
        <v>12</v>
      </c>
      <c r="B18" s="20" t="s">
        <v>24</v>
      </c>
      <c r="C18" s="29">
        <v>33</v>
      </c>
      <c r="D18" s="30">
        <v>1762.7122523</v>
      </c>
      <c r="E18" s="23">
        <v>1.292369885985194</v>
      </c>
      <c r="F18" s="24">
        <v>32</v>
      </c>
      <c r="G18" s="25">
        <v>1749.88338011</v>
      </c>
      <c r="H18" s="23">
        <v>1.2814388723130101</v>
      </c>
      <c r="I18" s="27">
        <f t="shared" si="0"/>
        <v>12.828872190000084</v>
      </c>
      <c r="J18" s="31">
        <f t="shared" si="1"/>
        <v>0.733127266412099</v>
      </c>
      <c r="O18" s="69">
        <v>1749883380.11</v>
      </c>
    </row>
    <row r="19" spans="1:15" ht="23.25">
      <c r="A19" s="19">
        <v>13</v>
      </c>
      <c r="B19" s="20" t="s">
        <v>30</v>
      </c>
      <c r="C19" s="21">
        <v>42</v>
      </c>
      <c r="D19" s="30">
        <v>1510.75669427</v>
      </c>
      <c r="E19" s="23">
        <v>1.107643323053725</v>
      </c>
      <c r="F19" s="24">
        <v>42</v>
      </c>
      <c r="G19" s="25">
        <v>1459.91248226</v>
      </c>
      <c r="H19" s="23">
        <v>1.0690933042779922</v>
      </c>
      <c r="I19" s="27">
        <f t="shared" si="0"/>
        <v>50.84421201000009</v>
      </c>
      <c r="J19" s="31">
        <f t="shared" si="1"/>
        <v>3.4826890397766395</v>
      </c>
      <c r="O19" s="69">
        <v>1459912482.26</v>
      </c>
    </row>
    <row r="20" spans="1:15" ht="23.25">
      <c r="A20" s="19">
        <v>14</v>
      </c>
      <c r="B20" s="20" t="s">
        <v>25</v>
      </c>
      <c r="C20" s="29">
        <v>4</v>
      </c>
      <c r="D20" s="30">
        <v>1298.10544956</v>
      </c>
      <c r="E20" s="23">
        <v>0.9517335513244596</v>
      </c>
      <c r="F20" s="24">
        <v>4</v>
      </c>
      <c r="G20" s="25">
        <v>1300.2718988499998</v>
      </c>
      <c r="H20" s="23">
        <v>0.9521885713651954</v>
      </c>
      <c r="I20" s="27">
        <f t="shared" si="0"/>
        <v>-2.166449289999946</v>
      </c>
      <c r="J20" s="31">
        <f t="shared" si="1"/>
        <v>-0.16661509734356483</v>
      </c>
      <c r="O20" s="69">
        <v>1270273879.19</v>
      </c>
    </row>
    <row r="21" spans="1:15" ht="23.25">
      <c r="A21" s="36">
        <v>15</v>
      </c>
      <c r="B21" s="20" t="s">
        <v>43</v>
      </c>
      <c r="C21" s="29">
        <v>2</v>
      </c>
      <c r="D21" s="30">
        <v>1012.2406819400001</v>
      </c>
      <c r="E21" s="23">
        <v>0.7421457319545135</v>
      </c>
      <c r="F21" s="24">
        <v>2</v>
      </c>
      <c r="G21" s="25">
        <v>1002.23690399</v>
      </c>
      <c r="H21" s="23">
        <v>0.7339376684397648</v>
      </c>
      <c r="I21" s="27">
        <f t="shared" si="0"/>
        <v>10.003777950000085</v>
      </c>
      <c r="J21" s="31">
        <f t="shared" si="1"/>
        <v>0.9981450403765915</v>
      </c>
      <c r="O21" s="69">
        <v>959943746.57</v>
      </c>
    </row>
    <row r="22" spans="1:15" ht="23.25">
      <c r="A22" s="19">
        <v>16</v>
      </c>
      <c r="B22" s="20" t="s">
        <v>26</v>
      </c>
      <c r="C22" s="29">
        <v>35</v>
      </c>
      <c r="D22" s="30">
        <v>982.41767562</v>
      </c>
      <c r="E22" s="23">
        <v>0.7202803621375035</v>
      </c>
      <c r="F22" s="24">
        <v>35</v>
      </c>
      <c r="G22" s="25">
        <v>959.94374657</v>
      </c>
      <c r="H22" s="23">
        <v>0.7029664068306429</v>
      </c>
      <c r="I22" s="27">
        <f t="shared" si="0"/>
        <v>22.473929049999924</v>
      </c>
      <c r="J22" s="31">
        <f t="shared" si="1"/>
        <v>2.3411714624218454</v>
      </c>
      <c r="O22" s="69">
        <v>1002236903.99</v>
      </c>
    </row>
    <row r="23" spans="1:15" ht="23.25">
      <c r="A23" s="19">
        <v>17</v>
      </c>
      <c r="B23" s="32" t="s">
        <v>28</v>
      </c>
      <c r="C23" s="29">
        <v>162</v>
      </c>
      <c r="D23" s="30">
        <v>933.73620266</v>
      </c>
      <c r="E23" s="23">
        <v>0.6845885073967112</v>
      </c>
      <c r="F23" s="24">
        <v>163</v>
      </c>
      <c r="G23" s="25">
        <v>948.30531491</v>
      </c>
      <c r="H23" s="23">
        <v>0.6944435881608954</v>
      </c>
      <c r="I23" s="27">
        <f t="shared" si="0"/>
        <v>-14.56911224999999</v>
      </c>
      <c r="J23" s="31">
        <f t="shared" si="1"/>
        <v>-1.5363313925307578</v>
      </c>
      <c r="O23" s="69">
        <v>948305314.91</v>
      </c>
    </row>
    <row r="24" spans="1:15" ht="23.25">
      <c r="A24" s="19">
        <v>18</v>
      </c>
      <c r="B24" s="20" t="s">
        <v>29</v>
      </c>
      <c r="C24" s="29">
        <v>20</v>
      </c>
      <c r="D24" s="30">
        <v>813.931</v>
      </c>
      <c r="E24" s="23">
        <v>0.596750781244805</v>
      </c>
      <c r="F24" s="24">
        <v>19</v>
      </c>
      <c r="G24" s="25">
        <v>739.942</v>
      </c>
      <c r="H24" s="23">
        <v>0.5418592192111847</v>
      </c>
      <c r="I24" s="27">
        <f t="shared" si="0"/>
        <v>73.98900000000003</v>
      </c>
      <c r="J24" s="31">
        <f t="shared" si="1"/>
        <v>9.999297242216286</v>
      </c>
      <c r="O24" s="69">
        <v>739942</v>
      </c>
    </row>
    <row r="25" spans="1:15" ht="23.25">
      <c r="A25" s="38">
        <v>19</v>
      </c>
      <c r="B25" s="20" t="s">
        <v>33</v>
      </c>
      <c r="C25" s="21">
        <v>10</v>
      </c>
      <c r="D25" s="30">
        <v>644.0557775</v>
      </c>
      <c r="E25" s="23">
        <v>0.4722031577472234</v>
      </c>
      <c r="F25" s="24">
        <v>8</v>
      </c>
      <c r="G25" s="25">
        <v>603.86889065</v>
      </c>
      <c r="H25" s="23">
        <v>0.4422129377620588</v>
      </c>
      <c r="I25" s="27">
        <f t="shared" si="0"/>
        <v>40.18688684999995</v>
      </c>
      <c r="J25" s="31">
        <f t="shared" si="1"/>
        <v>6.654902657221353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v>166.85928500999998</v>
      </c>
      <c r="E26" s="23">
        <v>0.12233642493978858</v>
      </c>
      <c r="F26" s="63">
        <v>2</v>
      </c>
      <c r="G26" s="25">
        <v>135.737812</v>
      </c>
      <c r="H26" s="23">
        <v>0.09940074333901112</v>
      </c>
      <c r="I26" s="27">
        <f t="shared" si="0"/>
        <v>31.12147300999999</v>
      </c>
      <c r="J26" s="31">
        <f t="shared" si="1"/>
        <v>22.927637149477544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7.58</v>
      </c>
      <c r="E27" s="23">
        <v>0.005557437819465804</v>
      </c>
      <c r="F27" s="24">
        <v>1</v>
      </c>
      <c r="G27" s="25">
        <v>7.7</v>
      </c>
      <c r="H27" s="42">
        <v>0.005638706801244046</v>
      </c>
      <c r="I27" s="27">
        <f t="shared" si="0"/>
        <v>-0.1200000000000001</v>
      </c>
      <c r="J27" s="31">
        <f t="shared" si="1"/>
        <v>-1.5584415584415598</v>
      </c>
      <c r="O27" s="69">
        <v>135737812</v>
      </c>
    </row>
    <row r="28" spans="1:10" ht="23.25">
      <c r="A28" s="38">
        <v>22</v>
      </c>
      <c r="B28" s="20" t="s">
        <v>31</v>
      </c>
      <c r="C28" s="33">
        <v>0</v>
      </c>
      <c r="D28" s="30">
        <v>0</v>
      </c>
      <c r="E28" s="23">
        <v>0</v>
      </c>
      <c r="F28" s="24">
        <v>1</v>
      </c>
      <c r="G28" s="25">
        <v>205.25164286</v>
      </c>
      <c r="H28" s="42">
        <v>0.15030569280015532</v>
      </c>
      <c r="I28" s="27">
        <f t="shared" si="0"/>
        <v>-205.25164286</v>
      </c>
      <c r="J28" s="31">
        <f t="shared" si="1"/>
        <v>-100</v>
      </c>
    </row>
    <row r="29" spans="1:10" ht="23.25">
      <c r="A29" s="38">
        <v>23</v>
      </c>
      <c r="B29" s="20" t="s">
        <v>60</v>
      </c>
      <c r="C29" s="40"/>
      <c r="D29" s="41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61</v>
      </c>
      <c r="C30" s="40"/>
      <c r="D30" s="41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4" thickBot="1">
      <c r="A31" s="38">
        <v>25</v>
      </c>
      <c r="B31" s="20" t="s">
        <v>62</v>
      </c>
      <c r="C31" s="40"/>
      <c r="D31" s="41"/>
      <c r="E31" s="23">
        <v>0</v>
      </c>
      <c r="F31" s="63"/>
      <c r="G31" s="25"/>
      <c r="H31" s="42">
        <v>0</v>
      </c>
      <c r="I31" s="27">
        <f t="shared" si="0"/>
        <v>0</v>
      </c>
      <c r="J31" s="31">
        <v>0</v>
      </c>
    </row>
    <row r="32" spans="1:11" ht="24" thickBot="1">
      <c r="A32" s="72" t="s">
        <v>36</v>
      </c>
      <c r="B32" s="73"/>
      <c r="C32" s="43">
        <f aca="true" t="shared" si="2" ref="C32:I32">SUM(C7:C31)</f>
        <v>1494</v>
      </c>
      <c r="D32" s="44">
        <f t="shared" si="2"/>
        <v>136393.78876089</v>
      </c>
      <c r="E32" s="45">
        <f t="shared" si="2"/>
        <v>100</v>
      </c>
      <c r="F32" s="43">
        <f t="shared" si="2"/>
        <v>1498</v>
      </c>
      <c r="G32" s="46">
        <f t="shared" si="2"/>
        <v>136556.13372735</v>
      </c>
      <c r="H32" s="47">
        <f t="shared" si="2"/>
        <v>100</v>
      </c>
      <c r="I32" s="48">
        <f t="shared" si="2"/>
        <v>-162.3449664600065</v>
      </c>
      <c r="J32" s="65">
        <f>(D32-G32)/G32*100</f>
        <v>-0.11888515149686334</v>
      </c>
      <c r="K32" s="50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66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2:10" ht="21">
      <c r="B36" s="1"/>
      <c r="H36" s="59"/>
      <c r="J36" s="60"/>
    </row>
    <row r="37" spans="8:10" ht="21">
      <c r="H37" s="59"/>
      <c r="J37" s="60"/>
    </row>
    <row r="39" ht="21"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6.2812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68</v>
      </c>
      <c r="D4" s="77"/>
      <c r="E4" s="78"/>
      <c r="F4" s="76" t="s">
        <v>65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6" ht="23.25">
      <c r="A7" s="19">
        <v>1</v>
      </c>
      <c r="B7" s="20" t="s">
        <v>13</v>
      </c>
      <c r="C7" s="21">
        <v>233</v>
      </c>
      <c r="D7" s="30">
        <v>42560.30563339</v>
      </c>
      <c r="E7" s="23">
        <v>30.91816094771371</v>
      </c>
      <c r="F7" s="24">
        <v>235</v>
      </c>
      <c r="G7" s="25">
        <v>42116.42226221</v>
      </c>
      <c r="H7" s="26">
        <v>30.87854853569886</v>
      </c>
      <c r="I7" s="27">
        <f aca="true" t="shared" si="0" ref="I7:I31">(D7-G7)</f>
        <v>443.88337118000345</v>
      </c>
      <c r="J7" s="28">
        <f aca="true" t="shared" si="1" ref="J7:J27">(D7-G7)/G7*100</f>
        <v>1.0539436811998364</v>
      </c>
      <c r="O7" s="69">
        <v>42028692348.32</v>
      </c>
      <c r="P7" s="70"/>
    </row>
    <row r="8" spans="1:15" ht="23.25">
      <c r="A8" s="19">
        <v>2</v>
      </c>
      <c r="B8" s="20" t="s">
        <v>14</v>
      </c>
      <c r="C8" s="29">
        <v>95</v>
      </c>
      <c r="D8" s="30">
        <v>19667.29461976</v>
      </c>
      <c r="E8" s="23">
        <v>14.287411037358408</v>
      </c>
      <c r="F8" s="24">
        <v>92</v>
      </c>
      <c r="G8" s="25">
        <v>18949.19581009</v>
      </c>
      <c r="H8" s="23">
        <v>13.893004939770071</v>
      </c>
      <c r="I8" s="27">
        <f t="shared" si="0"/>
        <v>718.0988096699984</v>
      </c>
      <c r="J8" s="31">
        <f t="shared" si="1"/>
        <v>3.7896004498915343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42</v>
      </c>
      <c r="D9" s="30">
        <v>17590.59090422</v>
      </c>
      <c r="E9" s="23">
        <v>12.77877855076725</v>
      </c>
      <c r="F9" s="24">
        <v>43</v>
      </c>
      <c r="G9" s="25">
        <v>17440.5910753</v>
      </c>
      <c r="H9" s="23">
        <v>12.786939371465698</v>
      </c>
      <c r="I9" s="27">
        <f t="shared" si="0"/>
        <v>149.99982892000116</v>
      </c>
      <c r="J9" s="31">
        <f t="shared" si="1"/>
        <v>0.8600616130059743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52</v>
      </c>
      <c r="D10" s="30">
        <v>14901.20222643</v>
      </c>
      <c r="E10" s="23">
        <v>10.825057806674767</v>
      </c>
      <c r="F10" s="24">
        <v>52</v>
      </c>
      <c r="G10" s="25">
        <v>14805.12464549</v>
      </c>
      <c r="H10" s="23">
        <v>10.854691243634747</v>
      </c>
      <c r="I10" s="27">
        <f t="shared" si="0"/>
        <v>96.07758094000019</v>
      </c>
      <c r="J10" s="31">
        <f t="shared" si="1"/>
        <v>0.6489481395164597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128</v>
      </c>
      <c r="D11" s="30">
        <v>9246.14</v>
      </c>
      <c r="E11" s="23">
        <v>6.7169077009826745</v>
      </c>
      <c r="F11" s="24">
        <v>129</v>
      </c>
      <c r="G11" s="25">
        <v>9617.8</v>
      </c>
      <c r="H11" s="23">
        <v>7.051494124018233</v>
      </c>
      <c r="I11" s="27">
        <f t="shared" si="0"/>
        <v>-371.65999999999985</v>
      </c>
      <c r="J11" s="31">
        <f t="shared" si="1"/>
        <v>-3.86429328952567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6202.702719999999</v>
      </c>
      <c r="E12" s="23">
        <v>4.505986462120861</v>
      </c>
      <c r="F12" s="24">
        <v>10</v>
      </c>
      <c r="G12" s="25">
        <v>6156.74122</v>
      </c>
      <c r="H12" s="23">
        <v>4.5139454486401105</v>
      </c>
      <c r="I12" s="27">
        <f t="shared" si="0"/>
        <v>45.96149999999943</v>
      </c>
      <c r="J12" s="31">
        <f t="shared" si="1"/>
        <v>0.7465231744789728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414</v>
      </c>
      <c r="D13" s="30">
        <v>5357.16</v>
      </c>
      <c r="E13" s="23">
        <v>3.891737444965828</v>
      </c>
      <c r="F13" s="24">
        <v>410</v>
      </c>
      <c r="G13" s="25">
        <v>5359.58</v>
      </c>
      <c r="H13" s="23">
        <v>3.9294897873947936</v>
      </c>
      <c r="I13" s="27">
        <f t="shared" si="0"/>
        <v>-2.4200000000000728</v>
      </c>
      <c r="J13" s="31">
        <f t="shared" si="1"/>
        <v>-0.04515279182324124</v>
      </c>
      <c r="O13" s="69">
        <v>5324.85</v>
      </c>
    </row>
    <row r="14" spans="1:15" ht="23.25">
      <c r="A14" s="19">
        <v>8</v>
      </c>
      <c r="B14" s="32" t="s">
        <v>23</v>
      </c>
      <c r="C14" s="33">
        <v>22</v>
      </c>
      <c r="D14" s="30">
        <v>4407.72891359</v>
      </c>
      <c r="E14" s="23">
        <v>3.2020181701268497</v>
      </c>
      <c r="F14" s="24">
        <v>23</v>
      </c>
      <c r="G14" s="25">
        <v>4016.1143459600003</v>
      </c>
      <c r="H14" s="23">
        <v>2.9444994397806434</v>
      </c>
      <c r="I14" s="27">
        <f t="shared" si="0"/>
        <v>391.6145676299998</v>
      </c>
      <c r="J14" s="31">
        <f t="shared" si="1"/>
        <v>9.751081117098757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73</v>
      </c>
      <c r="D15" s="30">
        <v>3660.22399395</v>
      </c>
      <c r="E15" s="23">
        <v>2.6589892357550626</v>
      </c>
      <c r="F15" s="24">
        <v>72</v>
      </c>
      <c r="G15" s="25">
        <v>3604.8520770500004</v>
      </c>
      <c r="H15" s="23">
        <v>2.6429737818703867</v>
      </c>
      <c r="I15" s="27">
        <f t="shared" si="0"/>
        <v>55.37191689999963</v>
      </c>
      <c r="J15" s="31">
        <f t="shared" si="1"/>
        <v>1.5360385313039742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61</v>
      </c>
      <c r="D16" s="30">
        <v>2844.31</v>
      </c>
      <c r="E16" s="23">
        <v>2.0662641646116144</v>
      </c>
      <c r="F16" s="24">
        <v>60</v>
      </c>
      <c r="G16" s="25">
        <v>2928.15</v>
      </c>
      <c r="H16" s="23">
        <v>2.146835296974775</v>
      </c>
      <c r="I16" s="27">
        <f t="shared" si="0"/>
        <v>-83.84000000000015</v>
      </c>
      <c r="J16" s="31">
        <f t="shared" si="1"/>
        <v>-2.8632412956986544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53</v>
      </c>
      <c r="D17" s="30">
        <v>1910.4304896400001</v>
      </c>
      <c r="E17" s="23">
        <v>1.3878424151110644</v>
      </c>
      <c r="F17" s="24">
        <v>55</v>
      </c>
      <c r="G17" s="25">
        <v>2266.82230593</v>
      </c>
      <c r="H17" s="23">
        <v>1.6619688671482935</v>
      </c>
      <c r="I17" s="27">
        <f t="shared" si="0"/>
        <v>-356.3918162899997</v>
      </c>
      <c r="J17" s="31">
        <f t="shared" si="1"/>
        <v>-15.722088818240401</v>
      </c>
      <c r="O17" s="69">
        <v>2994.93</v>
      </c>
    </row>
    <row r="18" spans="1:15" ht="23.25">
      <c r="A18" s="19">
        <v>12</v>
      </c>
      <c r="B18" s="20" t="s">
        <v>24</v>
      </c>
      <c r="C18" s="29">
        <v>33</v>
      </c>
      <c r="D18" s="30">
        <v>1814.89323076</v>
      </c>
      <c r="E18" s="23">
        <v>1.3184388640181925</v>
      </c>
      <c r="F18" s="24">
        <v>33</v>
      </c>
      <c r="G18" s="25">
        <v>1762.7122523</v>
      </c>
      <c r="H18" s="23">
        <v>1.292369885985194</v>
      </c>
      <c r="I18" s="27">
        <f t="shared" si="0"/>
        <v>52.180978460000006</v>
      </c>
      <c r="J18" s="31">
        <f t="shared" si="1"/>
        <v>2.960266395829148</v>
      </c>
      <c r="O18" s="69">
        <v>1749883380.11</v>
      </c>
    </row>
    <row r="19" spans="1:15" ht="23.25">
      <c r="A19" s="19">
        <v>13</v>
      </c>
      <c r="B19" s="20" t="s">
        <v>30</v>
      </c>
      <c r="C19" s="21">
        <v>44</v>
      </c>
      <c r="D19" s="30">
        <v>1539.68095404</v>
      </c>
      <c r="E19" s="23">
        <v>1.118509438235591</v>
      </c>
      <c r="F19" s="24">
        <v>42</v>
      </c>
      <c r="G19" s="25">
        <v>1510.75669427</v>
      </c>
      <c r="H19" s="23">
        <v>1.107643323053725</v>
      </c>
      <c r="I19" s="27">
        <f t="shared" si="0"/>
        <v>28.924259769999935</v>
      </c>
      <c r="J19" s="31">
        <f t="shared" si="1"/>
        <v>1.9145544666261554</v>
      </c>
      <c r="O19" s="69">
        <v>1459912482.26</v>
      </c>
    </row>
    <row r="20" spans="1:15" ht="23.25">
      <c r="A20" s="19">
        <v>14</v>
      </c>
      <c r="B20" s="20" t="s">
        <v>25</v>
      </c>
      <c r="C20" s="29">
        <v>4</v>
      </c>
      <c r="D20" s="30">
        <v>1294.54343482</v>
      </c>
      <c r="E20" s="23">
        <v>0.9404279803895484</v>
      </c>
      <c r="F20" s="24">
        <v>4</v>
      </c>
      <c r="G20" s="25">
        <v>1298.10544956</v>
      </c>
      <c r="H20" s="23">
        <v>0.9517335513244596</v>
      </c>
      <c r="I20" s="27">
        <f t="shared" si="0"/>
        <v>-3.562014739999995</v>
      </c>
      <c r="J20" s="31">
        <f t="shared" si="1"/>
        <v>-0.274401031226497</v>
      </c>
      <c r="O20" s="69">
        <v>1270273879.19</v>
      </c>
    </row>
    <row r="21" spans="1:15" ht="23.25">
      <c r="A21" s="36">
        <v>15</v>
      </c>
      <c r="B21" s="20" t="s">
        <v>26</v>
      </c>
      <c r="C21" s="29">
        <v>35</v>
      </c>
      <c r="D21" s="30">
        <v>1024.28004382</v>
      </c>
      <c r="E21" s="23">
        <v>0.744093699024396</v>
      </c>
      <c r="F21" s="24">
        <v>35</v>
      </c>
      <c r="G21" s="25">
        <v>982.41767562</v>
      </c>
      <c r="H21" s="23">
        <v>0.7202803621375035</v>
      </c>
      <c r="I21" s="27">
        <f t="shared" si="0"/>
        <v>41.86236819999999</v>
      </c>
      <c r="J21" s="31">
        <f t="shared" si="1"/>
        <v>4.261157880081994</v>
      </c>
      <c r="O21" s="69">
        <v>959943746.57</v>
      </c>
    </row>
    <row r="22" spans="1:15" ht="23.25">
      <c r="A22" s="19">
        <v>16</v>
      </c>
      <c r="B22" s="20" t="s">
        <v>43</v>
      </c>
      <c r="C22" s="29">
        <v>2</v>
      </c>
      <c r="D22" s="30">
        <v>1016.0444749</v>
      </c>
      <c r="E22" s="23">
        <v>0.7381109260725781</v>
      </c>
      <c r="F22" s="24">
        <v>2</v>
      </c>
      <c r="G22" s="25">
        <v>1012.2406819400001</v>
      </c>
      <c r="H22" s="23">
        <v>0.7421457319545135</v>
      </c>
      <c r="I22" s="27">
        <f t="shared" si="0"/>
        <v>3.803792959999896</v>
      </c>
      <c r="J22" s="31">
        <f t="shared" si="1"/>
        <v>0.3757794986771104</v>
      </c>
      <c r="O22" s="69">
        <v>1002236903.99</v>
      </c>
    </row>
    <row r="23" spans="1:15" ht="23.25">
      <c r="A23" s="19">
        <v>17</v>
      </c>
      <c r="B23" s="32" t="s">
        <v>28</v>
      </c>
      <c r="C23" s="29">
        <v>161</v>
      </c>
      <c r="D23" s="30">
        <v>913.37792941</v>
      </c>
      <c r="E23" s="23">
        <v>0.6635282667103936</v>
      </c>
      <c r="F23" s="24">
        <v>162</v>
      </c>
      <c r="G23" s="25">
        <v>933.73620266</v>
      </c>
      <c r="H23" s="23">
        <v>0.6845885073967112</v>
      </c>
      <c r="I23" s="27">
        <f t="shared" si="0"/>
        <v>-20.358273250000025</v>
      </c>
      <c r="J23" s="31">
        <f t="shared" si="1"/>
        <v>-2.180302444309643</v>
      </c>
      <c r="O23" s="69">
        <v>948305314.91</v>
      </c>
    </row>
    <row r="24" spans="1:15" ht="23.25">
      <c r="A24" s="19">
        <v>18</v>
      </c>
      <c r="B24" s="20" t="s">
        <v>29</v>
      </c>
      <c r="C24" s="29">
        <v>19</v>
      </c>
      <c r="D24" s="30">
        <v>847</v>
      </c>
      <c r="E24" s="23">
        <v>0.6153076659808662</v>
      </c>
      <c r="F24" s="24">
        <v>20</v>
      </c>
      <c r="G24" s="25">
        <v>813.931</v>
      </c>
      <c r="H24" s="23">
        <v>0.596750781244805</v>
      </c>
      <c r="I24" s="27">
        <f t="shared" si="0"/>
        <v>33.06899999999996</v>
      </c>
      <c r="J24" s="31">
        <f t="shared" si="1"/>
        <v>4.062875108577995</v>
      </c>
      <c r="O24" s="69">
        <v>739942</v>
      </c>
    </row>
    <row r="25" spans="1:15" ht="23.25">
      <c r="A25" s="38">
        <v>19</v>
      </c>
      <c r="B25" s="20" t="s">
        <v>33</v>
      </c>
      <c r="C25" s="21">
        <v>10</v>
      </c>
      <c r="D25" s="30">
        <v>671.2531593799999</v>
      </c>
      <c r="E25" s="23">
        <v>0.4876354365766116</v>
      </c>
      <c r="F25" s="24">
        <v>10</v>
      </c>
      <c r="G25" s="25">
        <v>644.0557775</v>
      </c>
      <c r="H25" s="23">
        <v>0.4722031577472234</v>
      </c>
      <c r="I25" s="27">
        <f t="shared" si="0"/>
        <v>27.197381879999966</v>
      </c>
      <c r="J25" s="31">
        <f t="shared" si="1"/>
        <v>4.222830200447968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v>177.92</v>
      </c>
      <c r="E26" s="23">
        <v>0.1292509326225687</v>
      </c>
      <c r="F26" s="63">
        <v>4</v>
      </c>
      <c r="G26" s="25">
        <v>166.85928500999998</v>
      </c>
      <c r="H26" s="23">
        <v>0.12233642493978858</v>
      </c>
      <c r="I26" s="27">
        <f t="shared" si="0"/>
        <v>11.060714990000008</v>
      </c>
      <c r="J26" s="31">
        <f t="shared" si="1"/>
        <v>6.6287680600675785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7.63</v>
      </c>
      <c r="E27" s="23">
        <v>0.005542854181149951</v>
      </c>
      <c r="F27" s="24">
        <v>1</v>
      </c>
      <c r="G27" s="25">
        <v>7.58</v>
      </c>
      <c r="H27" s="42">
        <v>0.005557437819465804</v>
      </c>
      <c r="I27" s="27">
        <f t="shared" si="0"/>
        <v>0.04999999999999982</v>
      </c>
      <c r="J27" s="31">
        <f t="shared" si="1"/>
        <v>0.659630606860156</v>
      </c>
      <c r="O27" s="69">
        <v>135737812</v>
      </c>
    </row>
    <row r="28" spans="1:10" ht="23.25">
      <c r="A28" s="38">
        <v>22</v>
      </c>
      <c r="B28" s="20" t="s">
        <v>31</v>
      </c>
      <c r="C28" s="33"/>
      <c r="D28" s="30"/>
      <c r="E28" s="23">
        <v>0</v>
      </c>
      <c r="F28" s="24"/>
      <c r="G28" s="25"/>
      <c r="H28" s="42">
        <v>0</v>
      </c>
      <c r="I28" s="27">
        <f t="shared" si="0"/>
        <v>0</v>
      </c>
      <c r="J28" s="31">
        <v>0</v>
      </c>
    </row>
    <row r="29" spans="1:10" ht="23.25">
      <c r="A29" s="38">
        <v>23</v>
      </c>
      <c r="B29" s="20" t="s">
        <v>60</v>
      </c>
      <c r="C29" s="40"/>
      <c r="D29" s="41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61</v>
      </c>
      <c r="C30" s="40"/>
      <c r="D30" s="41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4" thickBot="1">
      <c r="A31" s="38">
        <v>25</v>
      </c>
      <c r="B31" s="20" t="s">
        <v>62</v>
      </c>
      <c r="C31" s="40"/>
      <c r="D31" s="41"/>
      <c r="E31" s="23">
        <v>0</v>
      </c>
      <c r="F31" s="63"/>
      <c r="G31" s="25"/>
      <c r="H31" s="42">
        <v>0</v>
      </c>
      <c r="I31" s="27">
        <f t="shared" si="0"/>
        <v>0</v>
      </c>
      <c r="J31" s="31">
        <v>0</v>
      </c>
    </row>
    <row r="32" spans="1:11" ht="24" thickBot="1">
      <c r="A32" s="72" t="s">
        <v>36</v>
      </c>
      <c r="B32" s="73"/>
      <c r="C32" s="43">
        <f aca="true" t="shared" si="2" ref="C32:I32">SUM(C7:C31)</f>
        <v>1496</v>
      </c>
      <c r="D32" s="44">
        <f t="shared" si="2"/>
        <v>137654.71272811003</v>
      </c>
      <c r="E32" s="45">
        <f t="shared" si="2"/>
        <v>99.99999999999994</v>
      </c>
      <c r="F32" s="43">
        <f t="shared" si="2"/>
        <v>1494</v>
      </c>
      <c r="G32" s="46">
        <f t="shared" si="2"/>
        <v>136393.78876089</v>
      </c>
      <c r="H32" s="47">
        <f t="shared" si="2"/>
        <v>100</v>
      </c>
      <c r="I32" s="48">
        <f t="shared" si="2"/>
        <v>1260.9239672200022</v>
      </c>
      <c r="J32" s="65">
        <f>(D32-G32)/G32*100</f>
        <v>0.9244731586938628</v>
      </c>
      <c r="K32" s="50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69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8:10" ht="21">
      <c r="H36" s="59"/>
      <c r="J36" s="60"/>
    </row>
    <row r="37" spans="8:10" ht="21">
      <c r="H37" s="59"/>
      <c r="J37" s="60"/>
    </row>
    <row r="39" ht="21"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26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6.2812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71</v>
      </c>
      <c r="D4" s="77"/>
      <c r="E4" s="78"/>
      <c r="F4" s="76" t="s">
        <v>68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231</v>
      </c>
      <c r="D7" s="30">
        <v>42420.53474417</v>
      </c>
      <c r="E7" s="23">
        <v>31.170969352325102</v>
      </c>
      <c r="F7" s="24">
        <v>233</v>
      </c>
      <c r="G7" s="25">
        <v>42560.30563339</v>
      </c>
      <c r="H7" s="26">
        <v>30.91816094771371</v>
      </c>
      <c r="I7" s="27">
        <f aca="true" t="shared" si="0" ref="I7:I31">(D7-G7)</f>
        <v>-139.77088922000257</v>
      </c>
      <c r="J7" s="28">
        <f aca="true" t="shared" si="1" ref="J7:J27">(D7-G7)/G7*100</f>
        <v>-0.328406685854125</v>
      </c>
      <c r="O7" s="69">
        <v>42028692348.32</v>
      </c>
    </row>
    <row r="8" spans="1:15" ht="23.25">
      <c r="A8" s="19">
        <v>2</v>
      </c>
      <c r="B8" s="20" t="s">
        <v>14</v>
      </c>
      <c r="C8" s="29">
        <v>98</v>
      </c>
      <c r="D8" s="30">
        <v>19377.03795541</v>
      </c>
      <c r="E8" s="23">
        <v>14.238412124918707</v>
      </c>
      <c r="F8" s="24">
        <v>95</v>
      </c>
      <c r="G8" s="25">
        <v>19667.29461976</v>
      </c>
      <c r="H8" s="23">
        <v>14.287411037358408</v>
      </c>
      <c r="I8" s="27">
        <f t="shared" si="0"/>
        <v>-290.2566643499995</v>
      </c>
      <c r="J8" s="31">
        <f t="shared" si="1"/>
        <v>-1.4758342210340136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42</v>
      </c>
      <c r="D9" s="30">
        <v>17262.93493732</v>
      </c>
      <c r="E9" s="23">
        <v>12.684951264937489</v>
      </c>
      <c r="F9" s="24">
        <v>42</v>
      </c>
      <c r="G9" s="25">
        <v>17590.59090422</v>
      </c>
      <c r="H9" s="23">
        <v>12.77877855076725</v>
      </c>
      <c r="I9" s="27">
        <f t="shared" si="0"/>
        <v>-327.65596690000166</v>
      </c>
      <c r="J9" s="31">
        <f t="shared" si="1"/>
        <v>-1.8626774318388397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52</v>
      </c>
      <c r="D10" s="30">
        <v>14732.04765629</v>
      </c>
      <c r="E10" s="23">
        <v>10.825233787377458</v>
      </c>
      <c r="F10" s="24">
        <v>52</v>
      </c>
      <c r="G10" s="25">
        <v>14901.20222643</v>
      </c>
      <c r="H10" s="23">
        <v>10.825057806674767</v>
      </c>
      <c r="I10" s="27">
        <f t="shared" si="0"/>
        <v>-169.15457013999912</v>
      </c>
      <c r="J10" s="31">
        <f t="shared" si="1"/>
        <v>-1.1351739783785544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126</v>
      </c>
      <c r="D11" s="30">
        <v>8690.99</v>
      </c>
      <c r="E11" s="23">
        <v>6.386213294225282</v>
      </c>
      <c r="F11" s="24">
        <v>128</v>
      </c>
      <c r="G11" s="25">
        <v>9246.14</v>
      </c>
      <c r="H11" s="23">
        <v>6.7169077009826745</v>
      </c>
      <c r="I11" s="27">
        <f t="shared" si="0"/>
        <v>-555.1499999999996</v>
      </c>
      <c r="J11" s="31">
        <f t="shared" si="1"/>
        <v>-6.0041271276446135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6168.84526</v>
      </c>
      <c r="E12" s="23">
        <v>4.532919910094319</v>
      </c>
      <c r="F12" s="24">
        <v>10</v>
      </c>
      <c r="G12" s="25">
        <v>6202.702719999999</v>
      </c>
      <c r="H12" s="23">
        <v>4.505986462120861</v>
      </c>
      <c r="I12" s="27">
        <f t="shared" si="0"/>
        <v>-33.857459999999264</v>
      </c>
      <c r="J12" s="31">
        <f t="shared" si="1"/>
        <v>-0.5458501161248506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408</v>
      </c>
      <c r="D13" s="30">
        <v>5690.1</v>
      </c>
      <c r="E13" s="23">
        <v>4.1811338254297015</v>
      </c>
      <c r="F13" s="24">
        <v>414</v>
      </c>
      <c r="G13" s="25">
        <v>5357.16</v>
      </c>
      <c r="H13" s="23">
        <v>3.891737444965828</v>
      </c>
      <c r="I13" s="27">
        <f t="shared" si="0"/>
        <v>332.9400000000005</v>
      </c>
      <c r="J13" s="31">
        <f t="shared" si="1"/>
        <v>6.214860112447649</v>
      </c>
      <c r="O13" s="69">
        <v>5324.85</v>
      </c>
    </row>
    <row r="14" spans="1:15" ht="23.25">
      <c r="A14" s="19">
        <v>8</v>
      </c>
      <c r="B14" s="32" t="s">
        <v>23</v>
      </c>
      <c r="C14" s="33">
        <v>23</v>
      </c>
      <c r="D14" s="30">
        <v>4188.73672241</v>
      </c>
      <c r="E14" s="23">
        <v>3.0779193328567147</v>
      </c>
      <c r="F14" s="24">
        <v>22</v>
      </c>
      <c r="G14" s="25">
        <v>4407.72891359</v>
      </c>
      <c r="H14" s="23">
        <v>3.2020181701268497</v>
      </c>
      <c r="I14" s="27">
        <f t="shared" si="0"/>
        <v>-218.9921911800002</v>
      </c>
      <c r="J14" s="31">
        <f t="shared" si="1"/>
        <v>-4.9683679616684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71</v>
      </c>
      <c r="D15" s="30">
        <v>3612.63946036</v>
      </c>
      <c r="E15" s="23">
        <v>2.6545981699431116</v>
      </c>
      <c r="F15" s="24">
        <v>73</v>
      </c>
      <c r="G15" s="25">
        <v>3660.22399395</v>
      </c>
      <c r="H15" s="23">
        <v>2.6589892357550626</v>
      </c>
      <c r="I15" s="27">
        <f t="shared" si="0"/>
        <v>-47.584533589999864</v>
      </c>
      <c r="J15" s="31">
        <f t="shared" si="1"/>
        <v>-1.300044305175108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59</v>
      </c>
      <c r="D16" s="30">
        <v>2597.58</v>
      </c>
      <c r="E16" s="23">
        <v>1.9087238541079565</v>
      </c>
      <c r="F16" s="24">
        <v>61</v>
      </c>
      <c r="G16" s="25">
        <v>2844.31</v>
      </c>
      <c r="H16" s="23">
        <v>2.0662641646116144</v>
      </c>
      <c r="I16" s="27">
        <f t="shared" si="0"/>
        <v>-246.73000000000002</v>
      </c>
      <c r="J16" s="31">
        <f t="shared" si="1"/>
        <v>-8.674511568710866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43</v>
      </c>
      <c r="D17" s="30">
        <v>1893.7476854200002</v>
      </c>
      <c r="E17" s="23">
        <v>1.391541889305771</v>
      </c>
      <c r="F17" s="24">
        <v>53</v>
      </c>
      <c r="G17" s="25">
        <v>1910.4304896400001</v>
      </c>
      <c r="H17" s="23">
        <v>1.3878424151110644</v>
      </c>
      <c r="I17" s="27">
        <f t="shared" si="0"/>
        <v>-16.68280421999998</v>
      </c>
      <c r="J17" s="31">
        <f t="shared" si="1"/>
        <v>-0.8732484280620789</v>
      </c>
      <c r="O17" s="69">
        <v>2994.93</v>
      </c>
    </row>
    <row r="18" spans="1:15" ht="23.25">
      <c r="A18" s="19">
        <v>12</v>
      </c>
      <c r="B18" s="20" t="s">
        <v>24</v>
      </c>
      <c r="C18" s="29">
        <v>34</v>
      </c>
      <c r="D18" s="30">
        <v>1820.46982607</v>
      </c>
      <c r="E18" s="23">
        <v>1.3376966956565617</v>
      </c>
      <c r="F18" s="24">
        <v>33</v>
      </c>
      <c r="G18" s="25">
        <v>1814.89323076</v>
      </c>
      <c r="H18" s="23">
        <v>1.3184388640181925</v>
      </c>
      <c r="I18" s="27">
        <f t="shared" si="0"/>
        <v>5.576595309999902</v>
      </c>
      <c r="J18" s="31">
        <f t="shared" si="1"/>
        <v>0.30726850568860525</v>
      </c>
      <c r="O18" s="69">
        <v>1749883380.11</v>
      </c>
    </row>
    <row r="19" spans="1:15" ht="23.25">
      <c r="A19" s="19">
        <v>13</v>
      </c>
      <c r="B19" s="20" t="s">
        <v>30</v>
      </c>
      <c r="C19" s="21">
        <v>44</v>
      </c>
      <c r="D19" s="30">
        <v>1554.4339637799999</v>
      </c>
      <c r="E19" s="23">
        <v>1.1422112836957743</v>
      </c>
      <c r="F19" s="24">
        <v>44</v>
      </c>
      <c r="G19" s="25">
        <v>1539.68095404</v>
      </c>
      <c r="H19" s="23">
        <v>1.118509438235591</v>
      </c>
      <c r="I19" s="27">
        <f t="shared" si="0"/>
        <v>14.753009739999925</v>
      </c>
      <c r="J19" s="31">
        <f t="shared" si="1"/>
        <v>0.9581861554687161</v>
      </c>
      <c r="O19" s="69">
        <v>1459912482.26</v>
      </c>
    </row>
    <row r="20" spans="1:15" ht="23.25">
      <c r="A20" s="19">
        <v>14</v>
      </c>
      <c r="B20" s="20" t="s">
        <v>43</v>
      </c>
      <c r="C20" s="29">
        <v>2</v>
      </c>
      <c r="D20" s="30">
        <v>1287.7094626500002</v>
      </c>
      <c r="E20" s="23">
        <v>0.9462198540643961</v>
      </c>
      <c r="F20" s="24">
        <v>2</v>
      </c>
      <c r="G20" s="25">
        <v>1016.0444749</v>
      </c>
      <c r="H20" s="23">
        <v>0.7381109260725781</v>
      </c>
      <c r="I20" s="27">
        <f t="shared" si="0"/>
        <v>271.66498775000025</v>
      </c>
      <c r="J20" s="31">
        <f t="shared" si="1"/>
        <v>26.73750947533451</v>
      </c>
      <c r="O20" s="69">
        <v>1270273879.19</v>
      </c>
    </row>
    <row r="21" spans="1:15" ht="23.25">
      <c r="A21" s="36">
        <v>15</v>
      </c>
      <c r="B21" s="20" t="s">
        <v>25</v>
      </c>
      <c r="C21" s="29">
        <v>4</v>
      </c>
      <c r="D21" s="30">
        <v>1287.12712159</v>
      </c>
      <c r="E21" s="23">
        <v>0.9457919449056988</v>
      </c>
      <c r="F21" s="24">
        <v>4</v>
      </c>
      <c r="G21" s="25">
        <v>1294.54343482</v>
      </c>
      <c r="H21" s="23">
        <v>0.9404279803895484</v>
      </c>
      <c r="I21" s="27">
        <f t="shared" si="0"/>
        <v>-7.416313230000014</v>
      </c>
      <c r="J21" s="31">
        <f t="shared" si="1"/>
        <v>-0.5728902584895669</v>
      </c>
      <c r="O21" s="69">
        <v>959943746.57</v>
      </c>
    </row>
    <row r="22" spans="1:15" ht="23.25">
      <c r="A22" s="19">
        <v>16</v>
      </c>
      <c r="B22" s="20" t="s">
        <v>26</v>
      </c>
      <c r="C22" s="29">
        <v>35</v>
      </c>
      <c r="D22" s="30">
        <v>934.57666134</v>
      </c>
      <c r="E22" s="23">
        <v>0.6867348713002992</v>
      </c>
      <c r="F22" s="24">
        <v>35</v>
      </c>
      <c r="G22" s="25">
        <v>1024.28004382</v>
      </c>
      <c r="H22" s="23">
        <v>0.744093699024396</v>
      </c>
      <c r="I22" s="27">
        <f t="shared" si="0"/>
        <v>-89.70338247999996</v>
      </c>
      <c r="J22" s="31">
        <f t="shared" si="1"/>
        <v>-8.757700886708268</v>
      </c>
      <c r="O22" s="69">
        <v>1002236903.99</v>
      </c>
    </row>
    <row r="23" spans="1:15" ht="23.25">
      <c r="A23" s="19">
        <v>17</v>
      </c>
      <c r="B23" s="32" t="s">
        <v>28</v>
      </c>
      <c r="C23" s="29">
        <v>161</v>
      </c>
      <c r="D23" s="30">
        <v>909.94350403</v>
      </c>
      <c r="E23" s="23">
        <v>0.6686342180154762</v>
      </c>
      <c r="F23" s="24">
        <v>161</v>
      </c>
      <c r="G23" s="25">
        <v>913.37792941</v>
      </c>
      <c r="H23" s="23">
        <v>0.6635282667103936</v>
      </c>
      <c r="I23" s="27">
        <f t="shared" si="0"/>
        <v>-3.4344253799999933</v>
      </c>
      <c r="J23" s="31">
        <f t="shared" si="1"/>
        <v>-0.37601361598680993</v>
      </c>
      <c r="O23" s="69">
        <v>948305314.91</v>
      </c>
    </row>
    <row r="24" spans="1:15" ht="23.25">
      <c r="A24" s="19">
        <v>18</v>
      </c>
      <c r="B24" s="20" t="s">
        <v>33</v>
      </c>
      <c r="C24" s="21">
        <v>12</v>
      </c>
      <c r="D24" s="30">
        <v>759.4342658300001</v>
      </c>
      <c r="E24" s="23">
        <v>0.5580387509977303</v>
      </c>
      <c r="F24" s="24">
        <v>10</v>
      </c>
      <c r="G24" s="25">
        <v>671.2531593799999</v>
      </c>
      <c r="H24" s="23">
        <v>0.4876354365766116</v>
      </c>
      <c r="I24" s="27">
        <f t="shared" si="0"/>
        <v>88.18110645000013</v>
      </c>
      <c r="J24" s="31">
        <f t="shared" si="1"/>
        <v>13.13678829183437</v>
      </c>
      <c r="O24" s="69">
        <v>739942</v>
      </c>
    </row>
    <row r="25" spans="1:15" ht="23.25">
      <c r="A25" s="38">
        <v>19</v>
      </c>
      <c r="B25" s="20" t="s">
        <v>29</v>
      </c>
      <c r="C25" s="29">
        <v>18</v>
      </c>
      <c r="D25" s="30">
        <v>715.307</v>
      </c>
      <c r="E25" s="23">
        <v>0.525613661142448</v>
      </c>
      <c r="F25" s="24">
        <v>19</v>
      </c>
      <c r="G25" s="25">
        <v>847</v>
      </c>
      <c r="H25" s="23">
        <v>0.6153076659808662</v>
      </c>
      <c r="I25" s="27">
        <f t="shared" si="0"/>
        <v>-131.69299999999998</v>
      </c>
      <c r="J25" s="31">
        <f t="shared" si="1"/>
        <v>-15.548170011806373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v>178.17363780000002</v>
      </c>
      <c r="E26" s="23">
        <v>0.13092350289194218</v>
      </c>
      <c r="F26" s="63">
        <v>4</v>
      </c>
      <c r="G26" s="25">
        <v>177.92</v>
      </c>
      <c r="H26" s="23">
        <v>0.1292509326225687</v>
      </c>
      <c r="I26" s="27">
        <f t="shared" si="0"/>
        <v>0.25363780000003544</v>
      </c>
      <c r="J26" s="31">
        <f t="shared" si="1"/>
        <v>0.14255721672663862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7.51</v>
      </c>
      <c r="E27" s="23">
        <v>0.005518411808048551</v>
      </c>
      <c r="F27" s="24">
        <v>1</v>
      </c>
      <c r="G27" s="25">
        <v>7.63</v>
      </c>
      <c r="H27" s="42">
        <v>0.005542854181149951</v>
      </c>
      <c r="I27" s="27">
        <f t="shared" si="0"/>
        <v>-0.1200000000000001</v>
      </c>
      <c r="J27" s="31">
        <f t="shared" si="1"/>
        <v>-1.572739187418088</v>
      </c>
      <c r="O27" s="69">
        <v>135737812</v>
      </c>
    </row>
    <row r="28" spans="1:10" ht="23.25">
      <c r="A28" s="38">
        <v>22</v>
      </c>
      <c r="B28" s="20" t="s">
        <v>31</v>
      </c>
      <c r="C28" s="33"/>
      <c r="D28" s="30"/>
      <c r="E28" s="23">
        <v>0</v>
      </c>
      <c r="F28" s="24"/>
      <c r="G28" s="25"/>
      <c r="H28" s="42">
        <v>0</v>
      </c>
      <c r="I28" s="27">
        <f t="shared" si="0"/>
        <v>0</v>
      </c>
      <c r="J28" s="31">
        <v>0</v>
      </c>
    </row>
    <row r="29" spans="1:10" ht="23.25">
      <c r="A29" s="38">
        <v>23</v>
      </c>
      <c r="B29" s="20" t="s">
        <v>60</v>
      </c>
      <c r="C29" s="40"/>
      <c r="D29" s="41"/>
      <c r="E29" s="23">
        <v>0</v>
      </c>
      <c r="F29" s="24"/>
      <c r="G29" s="25"/>
      <c r="H29" s="42">
        <v>0</v>
      </c>
      <c r="I29" s="27">
        <f t="shared" si="0"/>
        <v>0</v>
      </c>
      <c r="J29" s="31">
        <v>0</v>
      </c>
    </row>
    <row r="30" spans="1:10" ht="23.25">
      <c r="A30" s="38">
        <v>24</v>
      </c>
      <c r="B30" s="20" t="s">
        <v>61</v>
      </c>
      <c r="C30" s="40"/>
      <c r="D30" s="41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4" thickBot="1">
      <c r="A31" s="38">
        <v>25</v>
      </c>
      <c r="B31" s="20" t="s">
        <v>62</v>
      </c>
      <c r="C31" s="40"/>
      <c r="D31" s="41"/>
      <c r="E31" s="23">
        <v>0</v>
      </c>
      <c r="F31" s="63"/>
      <c r="G31" s="25"/>
      <c r="H31" s="42">
        <v>0</v>
      </c>
      <c r="I31" s="27">
        <f t="shared" si="0"/>
        <v>0</v>
      </c>
      <c r="J31" s="31">
        <v>0</v>
      </c>
    </row>
    <row r="32" spans="1:16" ht="24" thickBot="1">
      <c r="A32" s="72" t="s">
        <v>36</v>
      </c>
      <c r="B32" s="73"/>
      <c r="C32" s="43">
        <f aca="true" t="shared" si="2" ref="C32:I32">SUM(C7:C31)</f>
        <v>1478</v>
      </c>
      <c r="D32" s="44">
        <f t="shared" si="2"/>
        <v>136089.87986447001</v>
      </c>
      <c r="E32" s="45">
        <f t="shared" si="2"/>
        <v>99.99999999999999</v>
      </c>
      <c r="F32" s="43">
        <f t="shared" si="2"/>
        <v>1496</v>
      </c>
      <c r="G32" s="46">
        <f t="shared" si="2"/>
        <v>137654.71272811003</v>
      </c>
      <c r="H32" s="47">
        <f t="shared" si="2"/>
        <v>99.99999999999994</v>
      </c>
      <c r="I32" s="48">
        <f t="shared" si="2"/>
        <v>-1564.8328636400008</v>
      </c>
      <c r="J32" s="65">
        <f>(D32-G32)/G32*100</f>
        <v>-1.136781177067875</v>
      </c>
      <c r="K32" s="50"/>
      <c r="P32" s="71"/>
    </row>
    <row r="33" spans="1:11" ht="5.25" customHeight="1">
      <c r="A33" s="51"/>
      <c r="B33" s="52"/>
      <c r="C33" s="53"/>
      <c r="D33" s="54"/>
      <c r="E33" s="55"/>
      <c r="F33" s="53"/>
      <c r="G33" s="54"/>
      <c r="H33" s="55"/>
      <c r="I33" s="56"/>
      <c r="J33" s="57"/>
      <c r="K33" s="50"/>
    </row>
    <row r="34" spans="2:10" ht="21">
      <c r="B34" s="58" t="s">
        <v>72</v>
      </c>
      <c r="H34" s="59" t="s">
        <v>37</v>
      </c>
      <c r="J34" s="60"/>
    </row>
    <row r="35" spans="2:10" ht="21">
      <c r="B35" s="61" t="s">
        <v>40</v>
      </c>
      <c r="H35" s="59" t="s">
        <v>39</v>
      </c>
      <c r="J35" s="60"/>
    </row>
    <row r="36" spans="8:10" ht="21">
      <c r="H36" s="59"/>
      <c r="J36" s="60"/>
    </row>
    <row r="37" spans="8:10" ht="21">
      <c r="H37" s="59"/>
      <c r="J37" s="60"/>
    </row>
    <row r="39" ht="21">
      <c r="F39" s="62"/>
    </row>
    <row r="40" ht="21" hidden="1"/>
  </sheetData>
  <mergeCells count="6">
    <mergeCell ref="A32:B32"/>
    <mergeCell ref="A1:J1"/>
    <mergeCell ref="A2:J2"/>
    <mergeCell ref="C4:E4"/>
    <mergeCell ref="F4:H4"/>
    <mergeCell ref="I4:J4"/>
  </mergeCells>
  <printOptions/>
  <pageMargins left="1.1811023622047245" right="1.1811023622047245" top="0.11811023622047245" bottom="0.11811023622047245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B35" sqref="B35"/>
    </sheetView>
  </sheetViews>
  <sheetFormatPr defaultColWidth="9.140625" defaultRowHeight="21.75"/>
  <cols>
    <col min="1" max="1" width="6.57421875" style="1" customWidth="1"/>
    <col min="2" max="2" width="55.7109375" style="58" customWidth="1"/>
    <col min="3" max="3" width="11.00390625" style="1" customWidth="1"/>
    <col min="4" max="4" width="14.8515625" style="1" customWidth="1"/>
    <col min="5" max="5" width="10.421875" style="1" customWidth="1"/>
    <col min="6" max="6" width="10.7109375" style="1" customWidth="1"/>
    <col min="7" max="7" width="14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140625" style="1" customWidth="1"/>
    <col min="12" max="12" width="0" style="67" hidden="1" customWidth="1"/>
    <col min="13" max="13" width="14.00390625" style="68" hidden="1" customWidth="1"/>
    <col min="14" max="14" width="0" style="1" hidden="1" customWidth="1"/>
    <col min="15" max="15" width="16.28125" style="69" hidden="1" customWidth="1"/>
    <col min="16" max="16384" width="9.140625" style="1" customWidth="1"/>
  </cols>
  <sheetData>
    <row r="1" spans="1:10" ht="23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4" t="s">
        <v>73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.25" customHeight="1" thickBot="1">
      <c r="A3" s="2"/>
      <c r="B3" s="3"/>
      <c r="C3" s="4"/>
      <c r="D3" s="2"/>
      <c r="E3" s="2"/>
      <c r="F3" s="4"/>
      <c r="G3" s="4"/>
      <c r="H3" s="4"/>
      <c r="I3" s="2"/>
      <c r="J3" s="2"/>
    </row>
    <row r="4" spans="1:15" ht="22.5" customHeight="1" thickBot="1">
      <c r="A4" s="5"/>
      <c r="B4" s="6"/>
      <c r="C4" s="76" t="s">
        <v>74</v>
      </c>
      <c r="D4" s="77"/>
      <c r="E4" s="78"/>
      <c r="F4" s="76" t="s">
        <v>71</v>
      </c>
      <c r="G4" s="77"/>
      <c r="H4" s="78"/>
      <c r="I4" s="79" t="s">
        <v>4</v>
      </c>
      <c r="J4" s="78"/>
      <c r="O4" s="69" t="s">
        <v>57</v>
      </c>
    </row>
    <row r="5" spans="1:10" ht="23.2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2" t="s">
        <v>9</v>
      </c>
      <c r="I5" s="9" t="s">
        <v>8</v>
      </c>
      <c r="J5" s="12" t="s">
        <v>10</v>
      </c>
    </row>
    <row r="6" spans="1:10" ht="24" thickBot="1">
      <c r="A6" s="13"/>
      <c r="B6" s="14"/>
      <c r="C6" s="15" t="s">
        <v>11</v>
      </c>
      <c r="D6" s="16" t="s">
        <v>12</v>
      </c>
      <c r="E6" s="17"/>
      <c r="F6" s="15" t="s">
        <v>11</v>
      </c>
      <c r="G6" s="16" t="s">
        <v>12</v>
      </c>
      <c r="H6" s="18"/>
      <c r="I6" s="15" t="s">
        <v>12</v>
      </c>
      <c r="J6" s="18"/>
    </row>
    <row r="7" spans="1:15" ht="23.25">
      <c r="A7" s="19">
        <v>1</v>
      </c>
      <c r="B7" s="20" t="s">
        <v>13</v>
      </c>
      <c r="C7" s="21">
        <v>226</v>
      </c>
      <c r="D7" s="30">
        <v>42477.2570233</v>
      </c>
      <c r="E7" s="23">
        <v>30.961638013783897</v>
      </c>
      <c r="F7" s="24">
        <v>231</v>
      </c>
      <c r="G7" s="25">
        <v>42420.53474417</v>
      </c>
      <c r="H7" s="26">
        <v>31.170969352325102</v>
      </c>
      <c r="I7" s="27">
        <f aca="true" t="shared" si="0" ref="I7:I32">(D7-G7)</f>
        <v>56.72227913000097</v>
      </c>
      <c r="J7" s="28">
        <f aca="true" t="shared" si="1" ref="J7:J29">(D7-G7)/G7*100</f>
        <v>0.13371420108700188</v>
      </c>
      <c r="O7" s="69">
        <v>42028692348.32</v>
      </c>
    </row>
    <row r="8" spans="1:15" ht="23.25">
      <c r="A8" s="19">
        <v>2</v>
      </c>
      <c r="B8" s="20" t="s">
        <v>14</v>
      </c>
      <c r="C8" s="29">
        <v>101</v>
      </c>
      <c r="D8" s="30">
        <v>19621.66763563</v>
      </c>
      <c r="E8" s="23">
        <v>14.302217542623183</v>
      </c>
      <c r="F8" s="24">
        <v>98</v>
      </c>
      <c r="G8" s="25">
        <v>19377.03795541</v>
      </c>
      <c r="H8" s="23">
        <v>14.238412124918707</v>
      </c>
      <c r="I8" s="27">
        <f t="shared" si="0"/>
        <v>244.62968022000132</v>
      </c>
      <c r="J8" s="31">
        <f t="shared" si="1"/>
        <v>1.262472008275659</v>
      </c>
      <c r="M8" s="68">
        <v>731055044.65</v>
      </c>
      <c r="O8" s="69">
        <v>19113176891.48</v>
      </c>
    </row>
    <row r="9" spans="1:15" ht="23.25">
      <c r="A9" s="19">
        <v>3</v>
      </c>
      <c r="B9" s="20" t="s">
        <v>15</v>
      </c>
      <c r="C9" s="21">
        <v>43</v>
      </c>
      <c r="D9" s="30">
        <v>17126.1972146</v>
      </c>
      <c r="E9" s="23">
        <v>12.483271187220472</v>
      </c>
      <c r="F9" s="24">
        <v>42</v>
      </c>
      <c r="G9" s="25">
        <v>17262.93493732</v>
      </c>
      <c r="H9" s="23">
        <v>12.684951264937489</v>
      </c>
      <c r="I9" s="27">
        <f t="shared" si="0"/>
        <v>-136.7377227199977</v>
      </c>
      <c r="J9" s="31">
        <f t="shared" si="1"/>
        <v>-0.7920885018479117</v>
      </c>
      <c r="L9" s="67" t="s">
        <v>52</v>
      </c>
      <c r="M9" s="68">
        <v>16318054576.28</v>
      </c>
      <c r="O9" s="69">
        <v>17409731886.600002</v>
      </c>
    </row>
    <row r="10" spans="1:15" ht="23.25">
      <c r="A10" s="19">
        <v>4</v>
      </c>
      <c r="B10" s="20" t="s">
        <v>16</v>
      </c>
      <c r="C10" s="21">
        <v>50</v>
      </c>
      <c r="D10" s="30">
        <v>14762.5725668</v>
      </c>
      <c r="E10" s="23">
        <v>10.760427108434998</v>
      </c>
      <c r="F10" s="24">
        <v>52</v>
      </c>
      <c r="G10" s="25">
        <v>14732.04765629</v>
      </c>
      <c r="H10" s="23">
        <v>10.825233787377458</v>
      </c>
      <c r="I10" s="27">
        <f t="shared" si="0"/>
        <v>30.524910509999245</v>
      </c>
      <c r="J10" s="31">
        <f t="shared" si="1"/>
        <v>0.20720073150840182</v>
      </c>
      <c r="L10" s="67" t="s">
        <v>53</v>
      </c>
      <c r="M10" s="68">
        <f>M8+M9</f>
        <v>17049109620.93</v>
      </c>
      <c r="O10" s="69">
        <v>14770166593.19</v>
      </c>
    </row>
    <row r="11" spans="1:15" ht="23.25">
      <c r="A11" s="19">
        <v>5</v>
      </c>
      <c r="B11" s="20" t="s">
        <v>17</v>
      </c>
      <c r="C11" s="29">
        <v>126</v>
      </c>
      <c r="D11" s="30">
        <v>9087.75</v>
      </c>
      <c r="E11" s="23">
        <v>6.624053566015908</v>
      </c>
      <c r="F11" s="24">
        <v>126</v>
      </c>
      <c r="G11" s="25">
        <v>8690.99</v>
      </c>
      <c r="H11" s="23">
        <v>6.386213294225282</v>
      </c>
      <c r="I11" s="27">
        <f t="shared" si="0"/>
        <v>396.7600000000002</v>
      </c>
      <c r="J11" s="31">
        <f t="shared" si="1"/>
        <v>4.565187625345332</v>
      </c>
      <c r="O11" s="69">
        <v>9713.24</v>
      </c>
    </row>
    <row r="12" spans="1:15" ht="23.25">
      <c r="A12" s="19">
        <v>6</v>
      </c>
      <c r="B12" s="20" t="s">
        <v>19</v>
      </c>
      <c r="C12" s="29">
        <v>10</v>
      </c>
      <c r="D12" s="30">
        <v>6172.6580300000005</v>
      </c>
      <c r="E12" s="23">
        <v>4.499245405674477</v>
      </c>
      <c r="F12" s="24">
        <v>10</v>
      </c>
      <c r="G12" s="25">
        <v>6168.84526</v>
      </c>
      <c r="H12" s="23">
        <v>4.532919910094319</v>
      </c>
      <c r="I12" s="27">
        <f t="shared" si="0"/>
        <v>3.812770000000455</v>
      </c>
      <c r="J12" s="31">
        <f t="shared" si="1"/>
        <v>0.061806867238560874</v>
      </c>
      <c r="O12" s="69">
        <v>6142897.52</v>
      </c>
    </row>
    <row r="13" spans="1:15" ht="23.25">
      <c r="A13" s="19">
        <v>7</v>
      </c>
      <c r="B13" s="32" t="s">
        <v>20</v>
      </c>
      <c r="C13" s="33">
        <v>412</v>
      </c>
      <c r="D13" s="30">
        <v>5735.36</v>
      </c>
      <c r="E13" s="23">
        <v>4.1804992281241224</v>
      </c>
      <c r="F13" s="24">
        <v>408</v>
      </c>
      <c r="G13" s="25">
        <v>5690.1</v>
      </c>
      <c r="H13" s="23">
        <v>4.1811338254297015</v>
      </c>
      <c r="I13" s="27">
        <f t="shared" si="0"/>
        <v>45.25999999999931</v>
      </c>
      <c r="J13" s="31">
        <f t="shared" si="1"/>
        <v>0.7954166007627159</v>
      </c>
      <c r="O13" s="69">
        <v>5324.85</v>
      </c>
    </row>
    <row r="14" spans="1:15" ht="23.25">
      <c r="A14" s="19">
        <v>8</v>
      </c>
      <c r="B14" s="32" t="s">
        <v>23</v>
      </c>
      <c r="C14" s="33">
        <v>23</v>
      </c>
      <c r="D14" s="30">
        <v>4398.6426581999995</v>
      </c>
      <c r="E14" s="23">
        <v>3.2061670474737314</v>
      </c>
      <c r="F14" s="24">
        <v>23</v>
      </c>
      <c r="G14" s="25">
        <v>4188.73672241</v>
      </c>
      <c r="H14" s="23">
        <v>3.0779193328567147</v>
      </c>
      <c r="I14" s="27">
        <f t="shared" si="0"/>
        <v>209.9059357899996</v>
      </c>
      <c r="J14" s="31">
        <f t="shared" si="1"/>
        <v>5.011199072670046</v>
      </c>
      <c r="O14" s="69">
        <v>2449099035.5</v>
      </c>
    </row>
    <row r="15" spans="1:15" ht="23.25">
      <c r="A15" s="19">
        <v>9</v>
      </c>
      <c r="B15" s="20" t="s">
        <v>18</v>
      </c>
      <c r="C15" s="29">
        <v>64</v>
      </c>
      <c r="D15" s="30">
        <v>3633.1488186799997</v>
      </c>
      <c r="E15" s="23">
        <v>2.648199211932958</v>
      </c>
      <c r="F15" s="24">
        <v>71</v>
      </c>
      <c r="G15" s="25">
        <v>3612.63946036</v>
      </c>
      <c r="H15" s="23">
        <v>2.6545981699431116</v>
      </c>
      <c r="I15" s="27">
        <f t="shared" si="0"/>
        <v>20.509358319999592</v>
      </c>
      <c r="J15" s="31">
        <f t="shared" si="1"/>
        <v>0.5677111858252202</v>
      </c>
      <c r="O15" s="69">
        <v>3643005417.19</v>
      </c>
    </row>
    <row r="16" spans="1:15" ht="23.25">
      <c r="A16" s="19">
        <v>10</v>
      </c>
      <c r="B16" s="20" t="s">
        <v>58</v>
      </c>
      <c r="C16" s="29">
        <v>59</v>
      </c>
      <c r="D16" s="30">
        <v>2608.53</v>
      </c>
      <c r="E16" s="23">
        <v>1.9013553903396856</v>
      </c>
      <c r="F16" s="24">
        <v>59</v>
      </c>
      <c r="G16" s="25">
        <v>2597.58</v>
      </c>
      <c r="H16" s="23">
        <v>1.9087238541079565</v>
      </c>
      <c r="I16" s="27">
        <f t="shared" si="0"/>
        <v>10.950000000000273</v>
      </c>
      <c r="J16" s="31">
        <f t="shared" si="1"/>
        <v>0.4215462083939772</v>
      </c>
      <c r="O16" s="69">
        <v>3853289962.87</v>
      </c>
    </row>
    <row r="17" spans="1:15" ht="23.25">
      <c r="A17" s="19">
        <v>11</v>
      </c>
      <c r="B17" s="20" t="s">
        <v>21</v>
      </c>
      <c r="C17" s="40">
        <v>41</v>
      </c>
      <c r="D17" s="30">
        <v>1884.53257846</v>
      </c>
      <c r="E17" s="23">
        <v>1.3736342600336844</v>
      </c>
      <c r="F17" s="24">
        <v>43</v>
      </c>
      <c r="G17" s="25">
        <v>1893.7476854200002</v>
      </c>
      <c r="H17" s="23">
        <v>1.391541889305771</v>
      </c>
      <c r="I17" s="27">
        <f t="shared" si="0"/>
        <v>-9.215106960000185</v>
      </c>
      <c r="J17" s="31">
        <f t="shared" si="1"/>
        <v>-0.48660690285973524</v>
      </c>
      <c r="O17" s="69">
        <v>2994.93</v>
      </c>
    </row>
    <row r="18" spans="1:15" ht="23.25">
      <c r="A18" s="19">
        <v>12</v>
      </c>
      <c r="B18" s="20" t="s">
        <v>24</v>
      </c>
      <c r="C18" s="29">
        <v>34</v>
      </c>
      <c r="D18" s="30">
        <v>1816.4723632999999</v>
      </c>
      <c r="E18" s="23">
        <v>1.324025224691118</v>
      </c>
      <c r="F18" s="24">
        <v>34</v>
      </c>
      <c r="G18" s="25">
        <v>1820.46982607</v>
      </c>
      <c r="H18" s="23">
        <v>1.3376966956565617</v>
      </c>
      <c r="I18" s="27">
        <f t="shared" si="0"/>
        <v>-3.9974627700000838</v>
      </c>
      <c r="J18" s="31">
        <f t="shared" si="1"/>
        <v>-0.219584126732259</v>
      </c>
      <c r="O18" s="69">
        <v>1749883380.11</v>
      </c>
    </row>
    <row r="19" spans="1:15" ht="23.25">
      <c r="A19" s="19">
        <v>13</v>
      </c>
      <c r="B19" s="20" t="s">
        <v>43</v>
      </c>
      <c r="C19" s="29">
        <v>2</v>
      </c>
      <c r="D19" s="30">
        <v>1552.81018277</v>
      </c>
      <c r="E19" s="23">
        <v>1.1318420762590775</v>
      </c>
      <c r="F19" s="24">
        <v>2</v>
      </c>
      <c r="G19" s="25">
        <v>1287.7094626500002</v>
      </c>
      <c r="H19" s="23">
        <v>0.9462198540643961</v>
      </c>
      <c r="I19" s="27">
        <f t="shared" si="0"/>
        <v>265.1007201199998</v>
      </c>
      <c r="J19" s="31">
        <f t="shared" si="1"/>
        <v>20.58699790668963</v>
      </c>
      <c r="O19" s="69">
        <v>1459912482.26</v>
      </c>
    </row>
    <row r="20" spans="1:15" ht="23.25">
      <c r="A20" s="19">
        <v>14</v>
      </c>
      <c r="B20" s="20" t="s">
        <v>30</v>
      </c>
      <c r="C20" s="21">
        <v>41</v>
      </c>
      <c r="D20" s="30">
        <v>1529.3157591400002</v>
      </c>
      <c r="E20" s="23">
        <v>1.114717010029506</v>
      </c>
      <c r="F20" s="24">
        <v>44</v>
      </c>
      <c r="G20" s="25">
        <v>1554.4339637799999</v>
      </c>
      <c r="H20" s="23">
        <v>1.1422112836957743</v>
      </c>
      <c r="I20" s="27">
        <f t="shared" si="0"/>
        <v>-25.118204639999703</v>
      </c>
      <c r="J20" s="31">
        <f t="shared" si="1"/>
        <v>-1.6159068333091762</v>
      </c>
      <c r="O20" s="69">
        <v>1270273879.19</v>
      </c>
    </row>
    <row r="21" spans="1:15" ht="23.25">
      <c r="A21" s="36">
        <v>15</v>
      </c>
      <c r="B21" s="20" t="s">
        <v>25</v>
      </c>
      <c r="C21" s="29">
        <v>4</v>
      </c>
      <c r="D21" s="30">
        <v>1295.08684277</v>
      </c>
      <c r="E21" s="23">
        <v>0.9439877438475862</v>
      </c>
      <c r="F21" s="24">
        <v>4</v>
      </c>
      <c r="G21" s="25">
        <v>1287.12712159</v>
      </c>
      <c r="H21" s="23">
        <v>0.9457919449056988</v>
      </c>
      <c r="I21" s="27">
        <f t="shared" si="0"/>
        <v>7.959721180000088</v>
      </c>
      <c r="J21" s="31">
        <f t="shared" si="1"/>
        <v>0.6184098716036199</v>
      </c>
      <c r="O21" s="69">
        <v>959943746.57</v>
      </c>
    </row>
    <row r="22" spans="1:15" ht="23.25">
      <c r="A22" s="19">
        <v>16</v>
      </c>
      <c r="B22" s="20" t="s">
        <v>28</v>
      </c>
      <c r="C22" s="29">
        <v>161</v>
      </c>
      <c r="D22" s="30">
        <v>896.88114817</v>
      </c>
      <c r="E22" s="23">
        <v>0.6537359376994228</v>
      </c>
      <c r="F22" s="24">
        <v>161</v>
      </c>
      <c r="G22" s="25">
        <v>909.94350403</v>
      </c>
      <c r="H22" s="23">
        <v>0.6686342180154762</v>
      </c>
      <c r="I22" s="27">
        <f t="shared" si="0"/>
        <v>-13.062355860000025</v>
      </c>
      <c r="J22" s="31">
        <f t="shared" si="1"/>
        <v>-1.4355128425170198</v>
      </c>
      <c r="O22" s="69">
        <v>1002236903.99</v>
      </c>
    </row>
    <row r="23" spans="1:15" ht="23.25">
      <c r="A23" s="19">
        <v>17</v>
      </c>
      <c r="B23" s="32" t="s">
        <v>26</v>
      </c>
      <c r="C23" s="29">
        <v>34</v>
      </c>
      <c r="D23" s="30">
        <v>861.1898311699999</v>
      </c>
      <c r="E23" s="23">
        <v>0.6277205658362385</v>
      </c>
      <c r="F23" s="24">
        <v>35</v>
      </c>
      <c r="G23" s="25">
        <v>934.57666134</v>
      </c>
      <c r="H23" s="23">
        <v>0.6867348713002992</v>
      </c>
      <c r="I23" s="27">
        <f t="shared" si="0"/>
        <v>-73.38683017000005</v>
      </c>
      <c r="J23" s="31">
        <f t="shared" si="1"/>
        <v>-7.852414168440469</v>
      </c>
      <c r="O23" s="69">
        <v>948305314.91</v>
      </c>
    </row>
    <row r="24" spans="1:15" ht="23.25">
      <c r="A24" s="19">
        <v>18</v>
      </c>
      <c r="B24" s="20" t="s">
        <v>75</v>
      </c>
      <c r="C24" s="21">
        <v>13</v>
      </c>
      <c r="D24" s="22">
        <v>847.0426088300001</v>
      </c>
      <c r="E24" s="23">
        <v>0.6174086670064405</v>
      </c>
      <c r="F24" s="63">
        <v>0</v>
      </c>
      <c r="G24" s="25">
        <v>0</v>
      </c>
      <c r="H24" s="23">
        <v>0</v>
      </c>
      <c r="I24" s="27">
        <f t="shared" si="0"/>
        <v>847.0426088300001</v>
      </c>
      <c r="J24" s="31">
        <v>0</v>
      </c>
      <c r="O24" s="69">
        <v>739942</v>
      </c>
    </row>
    <row r="25" spans="1:15" ht="23.25">
      <c r="A25" s="38">
        <v>19</v>
      </c>
      <c r="B25" s="20" t="s">
        <v>29</v>
      </c>
      <c r="C25" s="29">
        <v>17</v>
      </c>
      <c r="D25" s="30">
        <v>696.168</v>
      </c>
      <c r="E25" s="23">
        <v>0.5074362876340307</v>
      </c>
      <c r="F25" s="24">
        <v>18</v>
      </c>
      <c r="G25" s="25">
        <v>715.307</v>
      </c>
      <c r="H25" s="23">
        <v>0.525613661142448</v>
      </c>
      <c r="I25" s="27">
        <f t="shared" si="0"/>
        <v>-19.13900000000001</v>
      </c>
      <c r="J25" s="31">
        <f t="shared" si="1"/>
        <v>-2.675634377966385</v>
      </c>
      <c r="O25" s="69">
        <v>603868890.65</v>
      </c>
    </row>
    <row r="26" spans="1:15" ht="23.25">
      <c r="A26" s="38">
        <v>20</v>
      </c>
      <c r="B26" s="20" t="s">
        <v>59</v>
      </c>
      <c r="C26" s="40">
        <v>4</v>
      </c>
      <c r="D26" s="30">
        <v>181.34078222</v>
      </c>
      <c r="E26" s="23">
        <v>0.13217914831817612</v>
      </c>
      <c r="F26" s="63">
        <v>4</v>
      </c>
      <c r="G26" s="25">
        <v>178.17363780000002</v>
      </c>
      <c r="H26" s="23">
        <v>0.13092350289194218</v>
      </c>
      <c r="I26" s="27">
        <f t="shared" si="0"/>
        <v>3.167144419999971</v>
      </c>
      <c r="J26" s="31">
        <f t="shared" si="1"/>
        <v>1.7775606195766693</v>
      </c>
      <c r="O26" s="69">
        <v>205251642.86</v>
      </c>
    </row>
    <row r="27" spans="1:15" ht="23.25">
      <c r="A27" s="38">
        <v>21</v>
      </c>
      <c r="B27" s="20" t="s">
        <v>32</v>
      </c>
      <c r="C27" s="40">
        <v>1</v>
      </c>
      <c r="D27" s="30">
        <v>7.56</v>
      </c>
      <c r="E27" s="23">
        <v>0.005510477836547029</v>
      </c>
      <c r="F27" s="24">
        <v>1</v>
      </c>
      <c r="G27" s="25">
        <v>7.51</v>
      </c>
      <c r="H27" s="42">
        <v>0.005518411808048551</v>
      </c>
      <c r="I27" s="27">
        <f t="shared" si="0"/>
        <v>0.04999999999999982</v>
      </c>
      <c r="J27" s="31">
        <f t="shared" si="1"/>
        <v>0.6657789613848178</v>
      </c>
      <c r="O27" s="69">
        <v>135737812</v>
      </c>
    </row>
    <row r="28" spans="1:10" ht="23.25">
      <c r="A28" s="38">
        <v>22</v>
      </c>
      <c r="B28" s="20" t="s">
        <v>49</v>
      </c>
      <c r="C28" s="40">
        <v>1</v>
      </c>
      <c r="D28" s="30">
        <v>1</v>
      </c>
      <c r="E28" s="23">
        <v>0.000728899184728443</v>
      </c>
      <c r="F28" s="24">
        <v>0</v>
      </c>
      <c r="G28" s="25">
        <v>0</v>
      </c>
      <c r="H28" s="42">
        <v>0</v>
      </c>
      <c r="I28" s="27">
        <f t="shared" si="0"/>
        <v>1</v>
      </c>
      <c r="J28" s="31">
        <v>0</v>
      </c>
    </row>
    <row r="29" spans="1:10" ht="23.25">
      <c r="A29" s="38">
        <v>23</v>
      </c>
      <c r="B29" s="20" t="s">
        <v>33</v>
      </c>
      <c r="C29" s="40">
        <v>0</v>
      </c>
      <c r="D29" s="39">
        <v>0</v>
      </c>
      <c r="E29" s="23">
        <v>0</v>
      </c>
      <c r="F29" s="24">
        <v>12</v>
      </c>
      <c r="G29" s="25">
        <v>759.4342658300001</v>
      </c>
      <c r="H29" s="42">
        <v>0.5580387509977303</v>
      </c>
      <c r="I29" s="27">
        <f t="shared" si="0"/>
        <v>-759.4342658300001</v>
      </c>
      <c r="J29" s="31">
        <f t="shared" si="1"/>
        <v>-100</v>
      </c>
    </row>
    <row r="30" spans="1:10" ht="23.25">
      <c r="A30" s="38">
        <v>24</v>
      </c>
      <c r="B30" s="20" t="s">
        <v>31</v>
      </c>
      <c r="C30" s="33"/>
      <c r="D30" s="30"/>
      <c r="E30" s="23">
        <v>0</v>
      </c>
      <c r="F30" s="24"/>
      <c r="G30" s="25"/>
      <c r="H30" s="42">
        <v>0</v>
      </c>
      <c r="I30" s="27">
        <f t="shared" si="0"/>
        <v>0</v>
      </c>
      <c r="J30" s="31">
        <v>0</v>
      </c>
    </row>
    <row r="31" spans="1:10" ht="23.25">
      <c r="A31" s="38">
        <v>25</v>
      </c>
      <c r="B31" s="20" t="s">
        <v>60</v>
      </c>
      <c r="C31" s="40"/>
      <c r="D31" s="41"/>
      <c r="E31" s="23">
        <v>0</v>
      </c>
      <c r="F31" s="24"/>
      <c r="G31" s="25"/>
      <c r="H31" s="42">
        <v>0</v>
      </c>
      <c r="I31" s="27">
        <f t="shared" si="0"/>
        <v>0</v>
      </c>
      <c r="J31" s="31">
        <v>0</v>
      </c>
    </row>
    <row r="32" spans="1:10" ht="24" thickBot="1">
      <c r="A32" s="38">
        <v>26</v>
      </c>
      <c r="B32" s="20" t="s">
        <v>62</v>
      </c>
      <c r="C32" s="40"/>
      <c r="D32" s="41"/>
      <c r="E32" s="23">
        <v>0</v>
      </c>
      <c r="F32" s="24"/>
      <c r="G32" s="25"/>
      <c r="H32" s="42">
        <v>0</v>
      </c>
      <c r="I32" s="27">
        <f t="shared" si="0"/>
        <v>0</v>
      </c>
      <c r="J32" s="31">
        <v>0</v>
      </c>
    </row>
    <row r="33" spans="1:11" ht="24" thickBot="1">
      <c r="A33" s="72" t="s">
        <v>36</v>
      </c>
      <c r="B33" s="73"/>
      <c r="C33" s="43">
        <f aca="true" t="shared" si="2" ref="C33:I33">SUM(C7:C32)</f>
        <v>1467</v>
      </c>
      <c r="D33" s="44">
        <f t="shared" si="2"/>
        <v>137193.18404404</v>
      </c>
      <c r="E33" s="45">
        <f t="shared" si="2"/>
        <v>99.99999999999999</v>
      </c>
      <c r="F33" s="43">
        <f t="shared" si="2"/>
        <v>1478</v>
      </c>
      <c r="G33" s="46">
        <f t="shared" si="2"/>
        <v>136089.87986447001</v>
      </c>
      <c r="H33" s="47">
        <f t="shared" si="2"/>
        <v>99.99999999999999</v>
      </c>
      <c r="I33" s="48">
        <f t="shared" si="2"/>
        <v>1103.3041795700028</v>
      </c>
      <c r="J33" s="65">
        <f>(D33-G33)/G33*100</f>
        <v>0.8107172852740868</v>
      </c>
      <c r="K33" s="50"/>
    </row>
    <row r="34" spans="1:11" ht="5.25" customHeight="1">
      <c r="A34" s="51"/>
      <c r="B34" s="52"/>
      <c r="C34" s="53"/>
      <c r="D34" s="54"/>
      <c r="E34" s="55"/>
      <c r="F34" s="53"/>
      <c r="G34" s="54"/>
      <c r="H34" s="55"/>
      <c r="I34" s="56"/>
      <c r="J34" s="57"/>
      <c r="K34" s="50"/>
    </row>
    <row r="35" spans="2:10" ht="21">
      <c r="B35" s="58" t="s">
        <v>76</v>
      </c>
      <c r="H35" s="59" t="s">
        <v>37</v>
      </c>
      <c r="J35" s="60"/>
    </row>
    <row r="36" spans="2:10" ht="21">
      <c r="B36" s="61" t="s">
        <v>40</v>
      </c>
      <c r="H36" s="59" t="s">
        <v>39</v>
      </c>
      <c r="J36" s="60"/>
    </row>
    <row r="37" spans="8:10" ht="21">
      <c r="H37" s="59"/>
      <c r="J37" s="60"/>
    </row>
    <row r="38" spans="8:10" ht="21">
      <c r="H38" s="59"/>
      <c r="J38" s="60"/>
    </row>
    <row r="40" ht="21">
      <c r="F40" s="62"/>
    </row>
    <row r="41" ht="21" hidden="1"/>
  </sheetData>
  <mergeCells count="6">
    <mergeCell ref="A33:B33"/>
    <mergeCell ref="A1:J1"/>
    <mergeCell ref="A2:J2"/>
    <mergeCell ref="C4:E4"/>
    <mergeCell ref="F4:H4"/>
    <mergeCell ref="I4:J4"/>
  </mergeCells>
  <printOptions/>
  <pageMargins left="1.3779527559055118" right="1.3779527559055118" top="0.11811023622047245" bottom="0.1181102362204724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</cp:lastModifiedBy>
  <cp:lastPrinted>2006-01-06T02:58:28Z</cp:lastPrinted>
  <dcterms:created xsi:type="dcterms:W3CDTF">2006-01-06T02:38:29Z</dcterms:created>
  <dcterms:modified xsi:type="dcterms:W3CDTF">2006-01-06T02:58:32Z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