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550" firstSheet="6" activeTab="11"/>
  </bookViews>
  <sheets>
    <sheet name="31  มกราคม  2545" sheetId="1" r:id="rId1"/>
    <sheet name="28  กุมภาพันธ์  2545" sheetId="2" r:id="rId2"/>
    <sheet name="31  มีนาคม  2545" sheetId="3" r:id="rId3"/>
    <sheet name="30 เมษายน 2545" sheetId="4" r:id="rId4"/>
    <sheet name="31 พฤษภาคม 2545" sheetId="5" r:id="rId5"/>
    <sheet name="30 มิถุนายน 2545" sheetId="6" r:id="rId6"/>
    <sheet name="31  กรกฎาคม  2545" sheetId="7" r:id="rId7"/>
    <sheet name=" 31  สิงหาคม  2545" sheetId="8" r:id="rId8"/>
    <sheet name="30 ก.ย.2545" sheetId="9" r:id="rId9"/>
    <sheet name="31 ต.ค. 2545" sheetId="10" r:id="rId10"/>
    <sheet name="30  พฤศจิกายน  2545" sheetId="11" r:id="rId11"/>
    <sheet name="31  ธันวาคม  2545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<sst xmlns="http://schemas.openxmlformats.org/spreadsheetml/2006/main" count="525" uniqueCount="83">
  <si>
    <t>รายงานแสดงการจัดการกองทุนส่วนบุคคล</t>
  </si>
  <si>
    <t>ณ  31  มกราคม  2545</t>
  </si>
  <si>
    <t>มกราคม  2545</t>
  </si>
  <si>
    <t>ธันวาคม  2544</t>
  </si>
  <si>
    <t xml:space="preserve">         เปลี่ยนแปลง</t>
  </si>
  <si>
    <t>ลำดับ</t>
  </si>
  <si>
    <t xml:space="preserve">บริษัท 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</si>
  <si>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</si>
  <si>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</si>
  <si>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</si>
  <si>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</si>
  <si>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</si>
  <si>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</si>
  <si>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 xml:space="preserve"> ธนาคาร ไทยพาณิชย์ จำกัด (มหาชน)</t>
  </si>
  <si>
    <t xml:space="preserve"> ธนาคาร กรุงเทพ จำกัด (มหาชน)</t>
  </si>
  <si>
    <t xml:space="preserve"> ธนาคาร ทหารไทย จำกัด (มหาชน)</t>
  </si>
  <si>
    <t xml:space="preserve"> บริษัทหลักทรัพย์ เคจีไอ (ประเทศไทย) จำกัด (มหาชน)</t>
  </si>
  <si>
    <t xml:space="preserve"> บริษัทหลักทรัพย์ เจ.พี. มอร์แกน จำกัด</t>
  </si>
  <si>
    <t xml:space="preserve"> บริษัทหลักทรัพย์ แอสเซทพลัส จำกัด  **</t>
  </si>
  <si>
    <t xml:space="preserve"> บริษัทหลักทรัพย์ กรุงศรีอยุธยา จำกัด   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</si>
  <si>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</si>
  <si>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กรุงไทย จำกัด  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</si>
  <si>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</si>
  <si>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ชโรเดอร์ จำกัด  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</si>
  <si>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</si>
  <si>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 ธนชาติ จำกัด</t>
  </si>
  <si>
    <t xml:space="preserve"> บริษัทหลักทรัพย์จัดการกองทุน อยุธยาเจเอฟ จำกัด</t>
  </si>
  <si>
    <t xml:space="preserve"> บริษัทหลักทรัพย์จัดการกองทุนรวม ไทยพาณิชย์ จำกัด</t>
  </si>
  <si>
    <t xml:space="preserve"> บริษัทหลักทรัพย์จัดการกองทุนรวม ไอเอ็นจี (ประเทศไทย) จำกัด</t>
  </si>
  <si>
    <t xml:space="preserve"> บริษัทหลักทรัพย์จัดการกองทุนรวม บีโอเอ จำกัด</t>
  </si>
  <si>
    <t xml:space="preserve"> บริษัทหลักทรัพย์จัดการกองทุนรวม วรรณ จำกัด</t>
  </si>
  <si>
    <t>รวม</t>
  </si>
  <si>
    <r>
      <t>หมายเหตุ</t>
    </r>
    <r>
      <rPr>
        <sz val="14"/>
        <rFont val="AngsanaUPC"/>
        <family val="1"/>
      </rPr>
      <t xml:space="preserve">  **  บริษัทยังมิได้มีการจัดการกองทุนส่วนบุคคล</t>
    </r>
  </si>
  <si>
    <t>ที่มา:  บริษัทผู้จัดการกองทุนส่วนบุคคล</t>
  </si>
  <si>
    <t>วันที่เผยแพร่:   22 มีนาคม 2545</t>
  </si>
  <si>
    <t>จัดทำโดย:  สมาคมบริษัทจัดการลงทุน</t>
  </si>
  <si>
    <t>ณ  28  กุมภาพันธ์  2545</t>
  </si>
  <si>
    <t>กุมภาพันธ์  2545</t>
  </si>
  <si>
    <t xml:space="preserve"> บริษัทหลักทรัพย์ บัวหลวง จำกัด</t>
  </si>
  <si>
    <t>วันที่เผยแพร่:   9 เมษายน  2545</t>
  </si>
  <si>
    <t>ณ  31  มีนาคม  2545</t>
  </si>
  <si>
    <t>มีนาคม  2545</t>
  </si>
  <si>
    <t xml:space="preserve"> บริษัทหลักทรัพย์จัดการกองทุน อเบอร์ดีน จำกัด  </t>
  </si>
  <si>
    <t xml:space="preserve"> บริษัทหลักทรัพย์ เคจีไอ (ประเทศไทย) จำกัด (มหาชน) ***</t>
  </si>
  <si>
    <t>วันที่เผยแพร่: 13 พฤษภาคม 2545</t>
  </si>
  <si>
    <t>ณ  30  เมษายน  2545</t>
  </si>
  <si>
    <t>เมษายน  2545</t>
  </si>
  <si>
    <t>วันที่เผยแพร่: 3 มิถุนายน 2545</t>
  </si>
  <si>
    <t>ณ  31  พฤษภาคม  2545</t>
  </si>
  <si>
    <t>พฤษภาคม  2545</t>
  </si>
  <si>
    <t>วันที่เผยแพร่: 25 มิถุนายน 2545</t>
  </si>
  <si>
    <t>ณ  30  มิถุนายน  2545</t>
  </si>
  <si>
    <t>มิถุนายน  2545</t>
  </si>
  <si>
    <t xml:space="preserve"> บริษัทหลักทรัพย์ แอสเซทพลัส จำกัด  ***</t>
  </si>
  <si>
    <r>
      <t>หมายเหตุ</t>
    </r>
    <r>
      <rPr>
        <sz val="14"/>
        <rFont val="AngsanaUPC"/>
        <family val="1"/>
      </rPr>
      <t xml:space="preserve">  ***  บริษัทยังมิได้มีการจัดการกองทุนส่วนบุคคล</t>
    </r>
  </si>
  <si>
    <t>วันที่เผยแพร่  :  29  กรกฎาคม  2545</t>
  </si>
  <si>
    <t>ณ  31  กรกฎาคม  2545</t>
  </si>
  <si>
    <t>กรกฎาคม  2545</t>
  </si>
  <si>
    <t xml:space="preserve"> บริษัทหลักทรัพย์จัดการกองทุน กรุงไทย จำกัด</t>
  </si>
  <si>
    <t xml:space="preserve"> บริษัทหลักทรัพย์จัดการกองทุน ไทยพาณิชย์ จำกัด</t>
  </si>
  <si>
    <t xml:space="preserve"> บริษัทหลักทรัพย์ เคจีไอ (ประเทศไทย) จำกัด (มหาชน)  ***</t>
  </si>
  <si>
    <t>วันที่เผยแพร่  : 5  กันยายน  2545</t>
  </si>
  <si>
    <t>ณ  31  สิงหาคม  2545</t>
  </si>
  <si>
    <t>สิงหาคม  2545</t>
  </si>
  <si>
    <t xml:space="preserve"> </t>
  </si>
  <si>
    <t>วันที่เผยแพร่  : 26  กันยายน  2545</t>
  </si>
  <si>
    <t>ณ  30  กันยายน  2545</t>
  </si>
  <si>
    <t>กันยายน  2545</t>
  </si>
  <si>
    <t>สิงหาคม  255</t>
  </si>
  <si>
    <t>บริษัทหลักทรัพย์จัดการกองทุน ซีมิโก้ ไนท์ ฟันด์ แมเนจเม้นท์ จำกัด</t>
  </si>
  <si>
    <t>วันที่เผยแพร่  : 30  ตุลาคม  2545</t>
  </si>
  <si>
    <t>ณ  31  ตุลาคม  2545</t>
  </si>
  <si>
    <t>ตุลาคม  2545</t>
  </si>
  <si>
    <t>วันที่เผยแพร่  : 28  พฤศจิกายน  2545</t>
  </si>
  <si>
    <t>ณ  30  พฤศจิกายน  2545</t>
  </si>
  <si>
    <t>พฤศจิกายน  2545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</si>
  <si>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</si>
  <si>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 แอสเซทพลัส จำกัด</t>
  </si>
  <si>
    <t>NEW</t>
  </si>
  <si>
    <t>วันที่เผยแพร่  : 25  ธันวาคม  2545</t>
  </si>
  <si>
    <t>ณ  31  ธันวาคม  2545</t>
  </si>
  <si>
    <t>ธันวาคม  2545</t>
  </si>
  <si>
    <t>วันที่เผยแพร่  : 27  มกราคม  2546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</si>
</sst>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#,##0.00;[Red]\(#,##0.00\)"/>
    <numFmt numFmtId="170" formatCode="_ * #,##0.00_ ;_ * \-#,##0.00_ ;_ * &quot;-&quot;??_ ;_ @_ "/>
  </numFmts>
  <fonts count="44">
    <font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u val="single"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ngsanaUPC"/>
      <family val="1"/>
    </font>
    <font>
      <b/>
      <sz val="15"/>
      <name val="AngsanaUPC"/>
      <family val="1"/>
    </font>
    <font>
      <b/>
      <sz val="16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168" fontId="3" fillId="0" borderId="22" xfId="33" applyNumberFormat="1" applyFont="1" applyFill="1" applyBorder="1" applyAlignment="1">
      <alignment/>
    </xf>
    <xf numFmtId="43" fontId="3" fillId="0" borderId="23" xfId="33" applyFont="1" applyFill="1" applyBorder="1" applyAlignment="1">
      <alignment/>
    </xf>
    <xf numFmtId="43" fontId="3" fillId="0" borderId="24" xfId="33" applyFont="1" applyFill="1" applyBorder="1" applyAlignment="1">
      <alignment/>
    </xf>
    <xf numFmtId="169" fontId="3" fillId="0" borderId="25" xfId="33" applyNumberFormat="1" applyFont="1" applyBorder="1" applyAlignment="1">
      <alignment/>
    </xf>
    <xf numFmtId="168" fontId="3" fillId="0" borderId="22" xfId="33" applyNumberFormat="1" applyFont="1" applyBorder="1" applyAlignment="1">
      <alignment/>
    </xf>
    <xf numFmtId="43" fontId="3" fillId="0" borderId="23" xfId="33" applyFont="1" applyBorder="1" applyAlignment="1">
      <alignment/>
    </xf>
    <xf numFmtId="0" fontId="2" fillId="0" borderId="26" xfId="0" applyFont="1" applyFill="1" applyBorder="1" applyAlignment="1">
      <alignment/>
    </xf>
    <xf numFmtId="168" fontId="3" fillId="0" borderId="27" xfId="33" applyNumberFormat="1" applyFont="1" applyBorder="1" applyAlignment="1">
      <alignment/>
    </xf>
    <xf numFmtId="43" fontId="3" fillId="0" borderId="28" xfId="33" applyFont="1" applyBorder="1" applyAlignment="1">
      <alignment/>
    </xf>
    <xf numFmtId="43" fontId="3" fillId="0" borderId="29" xfId="33" applyFont="1" applyBorder="1" applyAlignment="1">
      <alignment/>
    </xf>
    <xf numFmtId="43" fontId="3" fillId="0" borderId="29" xfId="33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43" fontId="3" fillId="0" borderId="30" xfId="33" applyFont="1" applyBorder="1" applyAlignment="1">
      <alignment/>
    </xf>
    <xf numFmtId="40" fontId="2" fillId="0" borderId="0" xfId="0" applyNumberFormat="1" applyFont="1" applyAlignment="1">
      <alignment/>
    </xf>
    <xf numFmtId="168" fontId="1" fillId="0" borderId="31" xfId="33" applyNumberFormat="1" applyFont="1" applyBorder="1" applyAlignment="1">
      <alignment/>
    </xf>
    <xf numFmtId="43" fontId="1" fillId="0" borderId="32" xfId="33" applyFont="1" applyBorder="1" applyAlignment="1">
      <alignment/>
    </xf>
    <xf numFmtId="43" fontId="1" fillId="0" borderId="33" xfId="33" applyFont="1" applyBorder="1" applyAlignment="1">
      <alignment/>
    </xf>
    <xf numFmtId="169" fontId="1" fillId="0" borderId="31" xfId="33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1" fillId="0" borderId="0" xfId="33" applyNumberFormat="1" applyFont="1" applyBorder="1" applyAlignment="1">
      <alignment/>
    </xf>
    <xf numFmtId="43" fontId="1" fillId="0" borderId="0" xfId="33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0" fontId="1" fillId="0" borderId="0" xfId="33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4" xfId="0" applyFont="1" applyBorder="1" applyAlignment="1" quotePrefix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" fontId="1" fillId="0" borderId="34" xfId="0" applyNumberFormat="1" applyFont="1" applyBorder="1" applyAlignment="1" quotePrefix="1">
      <alignment horizontal="center"/>
    </xf>
    <xf numFmtId="0" fontId="1" fillId="0" borderId="3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" fontId="24" fillId="0" borderId="34" xfId="0" applyNumberFormat="1" applyFont="1" applyBorder="1" applyAlignment="1" quotePrefix="1">
      <alignment horizontal="center"/>
    </xf>
    <xf numFmtId="0" fontId="24" fillId="0" borderId="35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68" fontId="3" fillId="0" borderId="22" xfId="35" applyNumberFormat="1" applyFont="1" applyBorder="1" applyAlignment="1">
      <alignment/>
    </xf>
    <xf numFmtId="43" fontId="3" fillId="0" borderId="23" xfId="35" applyFont="1" applyBorder="1" applyAlignment="1">
      <alignment/>
    </xf>
    <xf numFmtId="43" fontId="3" fillId="0" borderId="24" xfId="35" applyFont="1" applyFill="1" applyBorder="1" applyAlignment="1">
      <alignment/>
    </xf>
    <xf numFmtId="169" fontId="3" fillId="0" borderId="25" xfId="35" applyNumberFormat="1" applyFont="1" applyBorder="1" applyAlignment="1">
      <alignment/>
    </xf>
    <xf numFmtId="169" fontId="3" fillId="0" borderId="36" xfId="35" applyNumberFormat="1" applyFont="1" applyBorder="1" applyAlignment="1">
      <alignment/>
    </xf>
    <xf numFmtId="168" fontId="3" fillId="0" borderId="22" xfId="35" applyNumberFormat="1" applyFont="1" applyFill="1" applyBorder="1" applyAlignment="1">
      <alignment/>
    </xf>
    <xf numFmtId="43" fontId="3" fillId="0" borderId="23" xfId="35" applyFont="1" applyFill="1" applyBorder="1" applyAlignment="1">
      <alignment/>
    </xf>
    <xf numFmtId="169" fontId="3" fillId="0" borderId="23" xfId="35" applyNumberFormat="1" applyFont="1" applyBorder="1" applyAlignment="1">
      <alignment/>
    </xf>
    <xf numFmtId="168" fontId="3" fillId="0" borderId="27" xfId="35" applyNumberFormat="1" applyFont="1" applyBorder="1" applyAlignment="1">
      <alignment/>
    </xf>
    <xf numFmtId="43" fontId="3" fillId="0" borderId="28" xfId="35" applyFont="1" applyBorder="1" applyAlignment="1">
      <alignment/>
    </xf>
    <xf numFmtId="168" fontId="3" fillId="0" borderId="27" xfId="35" applyNumberFormat="1" applyFont="1" applyFill="1" applyBorder="1" applyAlignment="1">
      <alignment/>
    </xf>
    <xf numFmtId="43" fontId="3" fillId="0" borderId="28" xfId="35" applyFont="1" applyFill="1" applyBorder="1" applyAlignment="1">
      <alignment/>
    </xf>
    <xf numFmtId="43" fontId="3" fillId="0" borderId="29" xfId="35" applyFont="1" applyBorder="1" applyAlignment="1">
      <alignment/>
    </xf>
    <xf numFmtId="43" fontId="3" fillId="0" borderId="29" xfId="35" applyFont="1" applyFill="1" applyBorder="1" applyAlignment="1">
      <alignment/>
    </xf>
    <xf numFmtId="43" fontId="3" fillId="0" borderId="30" xfId="35" applyFont="1" applyBorder="1" applyAlignment="1">
      <alignment/>
    </xf>
    <xf numFmtId="168" fontId="1" fillId="0" borderId="31" xfId="35" applyNumberFormat="1" applyFont="1" applyBorder="1" applyAlignment="1">
      <alignment/>
    </xf>
    <xf numFmtId="43" fontId="1" fillId="0" borderId="32" xfId="35" applyFont="1" applyBorder="1" applyAlignment="1">
      <alignment/>
    </xf>
    <xf numFmtId="43" fontId="1" fillId="0" borderId="33" xfId="35" applyFont="1" applyBorder="1" applyAlignment="1">
      <alignment/>
    </xf>
    <xf numFmtId="169" fontId="1" fillId="0" borderId="31" xfId="3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68" fontId="1" fillId="0" borderId="0" xfId="35" applyNumberFormat="1" applyFont="1" applyBorder="1" applyAlignment="1">
      <alignment/>
    </xf>
    <xf numFmtId="43" fontId="1" fillId="0" borderId="0" xfId="35" applyNumberFormat="1" applyFont="1" applyBorder="1" applyAlignment="1">
      <alignment/>
    </xf>
    <xf numFmtId="40" fontId="1" fillId="0" borderId="0" xfId="35" applyNumberFormat="1" applyFont="1" applyBorder="1" applyAlignment="1">
      <alignment/>
    </xf>
    <xf numFmtId="168" fontId="3" fillId="0" borderId="22" xfId="36" applyNumberFormat="1" applyFont="1" applyBorder="1" applyAlignment="1">
      <alignment/>
    </xf>
    <xf numFmtId="170" fontId="3" fillId="0" borderId="23" xfId="36" applyFont="1" applyBorder="1" applyAlignment="1">
      <alignment/>
    </xf>
    <xf numFmtId="170" fontId="3" fillId="0" borderId="24" xfId="36" applyFont="1" applyFill="1" applyBorder="1" applyAlignment="1">
      <alignment/>
    </xf>
    <xf numFmtId="169" fontId="3" fillId="0" borderId="25" xfId="36" applyNumberFormat="1" applyFont="1" applyBorder="1" applyAlignment="1">
      <alignment/>
    </xf>
    <xf numFmtId="169" fontId="3" fillId="0" borderId="36" xfId="36" applyNumberFormat="1" applyFont="1" applyBorder="1" applyAlignment="1">
      <alignment/>
    </xf>
    <xf numFmtId="168" fontId="3" fillId="0" borderId="22" xfId="36" applyNumberFormat="1" applyFont="1" applyFill="1" applyBorder="1" applyAlignment="1">
      <alignment/>
    </xf>
    <xf numFmtId="170" fontId="3" fillId="0" borderId="23" xfId="36" applyFont="1" applyFill="1" applyBorder="1" applyAlignment="1">
      <alignment/>
    </xf>
    <xf numFmtId="169" fontId="3" fillId="0" borderId="23" xfId="36" applyNumberFormat="1" applyFont="1" applyBorder="1" applyAlignment="1">
      <alignment/>
    </xf>
    <xf numFmtId="168" fontId="3" fillId="0" borderId="27" xfId="36" applyNumberFormat="1" applyFont="1" applyBorder="1" applyAlignment="1">
      <alignment/>
    </xf>
    <xf numFmtId="170" fontId="3" fillId="0" borderId="28" xfId="36" applyFont="1" applyBorder="1" applyAlignment="1">
      <alignment/>
    </xf>
    <xf numFmtId="168" fontId="3" fillId="0" borderId="27" xfId="36" applyNumberFormat="1" applyFont="1" applyFill="1" applyBorder="1" applyAlignment="1">
      <alignment/>
    </xf>
    <xf numFmtId="170" fontId="3" fillId="0" borderId="28" xfId="36" applyFont="1" applyFill="1" applyBorder="1" applyAlignment="1">
      <alignment/>
    </xf>
    <xf numFmtId="170" fontId="3" fillId="0" borderId="29" xfId="36" applyFont="1" applyBorder="1" applyAlignment="1">
      <alignment/>
    </xf>
    <xf numFmtId="170" fontId="3" fillId="0" borderId="29" xfId="36" applyFont="1" applyFill="1" applyBorder="1" applyAlignment="1">
      <alignment/>
    </xf>
    <xf numFmtId="170" fontId="3" fillId="0" borderId="30" xfId="36" applyFont="1" applyBorder="1" applyAlignment="1">
      <alignment/>
    </xf>
    <xf numFmtId="168" fontId="1" fillId="0" borderId="31" xfId="36" applyNumberFormat="1" applyFont="1" applyBorder="1" applyAlignment="1">
      <alignment/>
    </xf>
    <xf numFmtId="170" fontId="1" fillId="0" borderId="32" xfId="36" applyFont="1" applyBorder="1" applyAlignment="1">
      <alignment/>
    </xf>
    <xf numFmtId="170" fontId="1" fillId="0" borderId="33" xfId="36" applyFont="1" applyBorder="1" applyAlignment="1">
      <alignment/>
    </xf>
    <xf numFmtId="169" fontId="1" fillId="0" borderId="31" xfId="36" applyNumberFormat="1" applyFont="1" applyBorder="1" applyAlignment="1">
      <alignment/>
    </xf>
    <xf numFmtId="168" fontId="1" fillId="0" borderId="0" xfId="36" applyNumberFormat="1" applyFont="1" applyBorder="1" applyAlignment="1">
      <alignment/>
    </xf>
    <xf numFmtId="43" fontId="1" fillId="0" borderId="0" xfId="36" applyNumberFormat="1" applyFont="1" applyBorder="1" applyAlignment="1">
      <alignment/>
    </xf>
    <xf numFmtId="40" fontId="1" fillId="0" borderId="0" xfId="36" applyNumberFormat="1" applyFont="1" applyBorder="1" applyAlignment="1">
      <alignment/>
    </xf>
    <xf numFmtId="0" fontId="25" fillId="0" borderId="0" xfId="0" applyFont="1" applyFill="1" applyAlignment="1">
      <alignment horizontal="center"/>
    </xf>
    <xf numFmtId="43" fontId="2" fillId="0" borderId="0" xfId="35" applyFont="1" applyAlignment="1">
      <alignment/>
    </xf>
    <xf numFmtId="169" fontId="3" fillId="0" borderId="13" xfId="35" applyNumberFormat="1" applyFont="1" applyBorder="1" applyAlignment="1">
      <alignment/>
    </xf>
    <xf numFmtId="43" fontId="3" fillId="0" borderId="0" xfId="35" applyFont="1" applyFill="1" applyBorder="1" applyAlignment="1">
      <alignment/>
    </xf>
    <xf numFmtId="2" fontId="3" fillId="0" borderId="23" xfId="35" applyNumberFormat="1" applyFont="1" applyBorder="1" applyAlignment="1">
      <alignment/>
    </xf>
    <xf numFmtId="169" fontId="3" fillId="0" borderId="28" xfId="35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3" fontId="3" fillId="0" borderId="37" xfId="35" applyFont="1" applyFill="1" applyBorder="1" applyAlignment="1">
      <alignment/>
    </xf>
    <xf numFmtId="43" fontId="3" fillId="0" borderId="38" xfId="35" applyFont="1" applyFill="1" applyBorder="1" applyAlignment="1">
      <alignment/>
    </xf>
    <xf numFmtId="168" fontId="1" fillId="0" borderId="33" xfId="35" applyNumberFormat="1" applyFont="1" applyBorder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Fill="1" applyAlignment="1">
      <alignment/>
    </xf>
    <xf numFmtId="168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43" fontId="3" fillId="0" borderId="22" xfId="35" applyNumberFormat="1" applyFont="1" applyFill="1" applyBorder="1" applyAlignment="1">
      <alignment/>
    </xf>
    <xf numFmtId="0" fontId="2" fillId="0" borderId="39" xfId="0" applyFont="1" applyBorder="1" applyAlignment="1">
      <alignment horizontal="center"/>
    </xf>
    <xf numFmtId="43" fontId="3" fillId="0" borderId="0" xfId="35" applyFont="1" applyBorder="1" applyAlignment="1">
      <alignment/>
    </xf>
    <xf numFmtId="169" fontId="26" fillId="33" borderId="23" xfId="35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0" fontId="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iporn\report\PF%20Report\Private%20Fund%20Report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ธค44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ต.ค."/>
      <sheetName val="พ.ย."/>
      <sheetName val="ธ.ค.45"/>
    </sheetNames>
    <sheetDataSet>
      <sheetData sheetId="11">
        <row r="7">
          <cell r="C7">
            <v>154</v>
          </cell>
          <cell r="D7">
            <v>37582.904200000004</v>
          </cell>
        </row>
        <row r="8">
          <cell r="C8">
            <v>32</v>
          </cell>
          <cell r="D8">
            <v>12513.39079451</v>
          </cell>
        </row>
        <row r="9">
          <cell r="C9">
            <v>42</v>
          </cell>
          <cell r="D9">
            <v>12371.62713</v>
          </cell>
        </row>
        <row r="10">
          <cell r="C10">
            <v>2</v>
          </cell>
          <cell r="D10">
            <v>6063.09109185</v>
          </cell>
        </row>
        <row r="11">
          <cell r="C11">
            <v>779</v>
          </cell>
          <cell r="D11">
            <v>4271.59185317</v>
          </cell>
        </row>
        <row r="12">
          <cell r="C12">
            <v>22</v>
          </cell>
          <cell r="D12">
            <v>3956.66253504</v>
          </cell>
        </row>
        <row r="13">
          <cell r="C13">
            <v>5</v>
          </cell>
          <cell r="D13">
            <v>2763.22163</v>
          </cell>
        </row>
        <row r="14">
          <cell r="C14">
            <v>23</v>
          </cell>
          <cell r="D14">
            <v>2589.85484361</v>
          </cell>
        </row>
        <row r="15">
          <cell r="C15">
            <v>267</v>
          </cell>
          <cell r="D15">
            <v>1372.37944</v>
          </cell>
        </row>
        <row r="16">
          <cell r="C16">
            <v>18</v>
          </cell>
          <cell r="D16">
            <v>1067.12373</v>
          </cell>
        </row>
        <row r="17">
          <cell r="C17">
            <v>1</v>
          </cell>
          <cell r="D17">
            <v>1040.74343</v>
          </cell>
        </row>
        <row r="18">
          <cell r="C18">
            <v>3</v>
          </cell>
          <cell r="D18">
            <v>953.46065</v>
          </cell>
        </row>
        <row r="19">
          <cell r="C19">
            <v>2</v>
          </cell>
          <cell r="D19">
            <v>499.43935869</v>
          </cell>
        </row>
        <row r="20">
          <cell r="C20">
            <v>61</v>
          </cell>
          <cell r="D20">
            <v>872.49222</v>
          </cell>
        </row>
        <row r="21">
          <cell r="C21">
            <v>6</v>
          </cell>
          <cell r="D21">
            <v>104.33480546999999</v>
          </cell>
        </row>
        <row r="22">
          <cell r="C22">
            <v>7</v>
          </cell>
          <cell r="D22">
            <v>93.06102</v>
          </cell>
        </row>
        <row r="23">
          <cell r="C23">
            <v>3</v>
          </cell>
          <cell r="D23">
            <v>66.85095</v>
          </cell>
        </row>
        <row r="24">
          <cell r="C24">
            <v>2</v>
          </cell>
          <cell r="D24">
            <v>14.96008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2" sqref="A2:J2"/>
    </sheetView>
  </sheetViews>
  <sheetFormatPr defaultColWidth="9.140625" defaultRowHeight="21.75"/>
  <cols>
    <col min="1" max="1" width="5.8515625" style="1" customWidth="1"/>
    <col min="2" max="2" width="47.28125" style="1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3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3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" customHeight="1" thickBot="1">
      <c r="A3" s="2"/>
      <c r="B3" s="2"/>
      <c r="C3" s="3"/>
      <c r="D3" s="3"/>
      <c r="E3" s="3"/>
      <c r="F3" s="3"/>
      <c r="G3" s="2"/>
      <c r="H3" s="2"/>
      <c r="I3" s="2"/>
      <c r="J3" s="2"/>
    </row>
    <row r="4" spans="1:10" ht="22.5" customHeight="1" thickBot="1">
      <c r="A4" s="4"/>
      <c r="B4" s="4"/>
      <c r="C4" s="50" t="s">
        <v>2</v>
      </c>
      <c r="D4" s="51"/>
      <c r="E4" s="52"/>
      <c r="F4" s="53" t="s">
        <v>3</v>
      </c>
      <c r="G4" s="51"/>
      <c r="H4" s="52"/>
      <c r="I4" s="54" t="s">
        <v>4</v>
      </c>
      <c r="J4" s="52"/>
    </row>
    <row r="5" spans="1:10" ht="23.25">
      <c r="A5" s="5" t="s">
        <v>5</v>
      </c>
      <c r="B5" s="5" t="s">
        <v>6</v>
      </c>
      <c r="C5" s="6" t="s">
        <v>7</v>
      </c>
      <c r="D5" s="7" t="s">
        <v>8</v>
      </c>
      <c r="E5" s="8" t="s">
        <v>9</v>
      </c>
      <c r="F5" s="6" t="s">
        <v>7</v>
      </c>
      <c r="G5" s="7" t="s">
        <v>8</v>
      </c>
      <c r="H5" s="8" t="s">
        <v>9</v>
      </c>
      <c r="I5" s="9" t="s">
        <v>8</v>
      </c>
      <c r="J5" s="8" t="s">
        <v>10</v>
      </c>
    </row>
    <row r="6" spans="1:10" ht="24" thickBot="1">
      <c r="A6" s="10"/>
      <c r="B6" s="10"/>
      <c r="C6" s="11" t="s">
        <v>11</v>
      </c>
      <c r="D6" s="12" t="s">
        <v>12</v>
      </c>
      <c r="E6" s="13"/>
      <c r="F6" s="11" t="s">
        <v>11</v>
      </c>
      <c r="G6" s="12" t="s">
        <v>12</v>
      </c>
      <c r="H6" s="13"/>
      <c r="I6" s="14" t="s">
        <v>12</v>
      </c>
      <c r="J6" s="13"/>
    </row>
    <row r="7" spans="1:10" ht="23.25">
      <c r="A7" s="15">
        <v>1</v>
      </c>
      <c r="B7" s="16" t="s">
        <v>13</v>
      </c>
      <c r="C7" s="17">
        <v>15</v>
      </c>
      <c r="D7" s="18">
        <v>873.29</v>
      </c>
      <c r="E7" s="19">
        <f>(D7/$D$25)*100</f>
        <v>1.2532537181147105</v>
      </c>
      <c r="F7" s="17">
        <v>16</v>
      </c>
      <c r="G7" s="18">
        <v>10263.68</v>
      </c>
      <c r="H7" s="19">
        <f>(G7/$G$25)*100</f>
        <v>14.295041928230637</v>
      </c>
      <c r="I7" s="20">
        <f>(D7-G7)</f>
        <v>-9390.39</v>
      </c>
      <c r="J7" s="20">
        <f>(D7-G7)/G7*100</f>
        <v>-91.49145335785994</v>
      </c>
    </row>
    <row r="8" spans="1:10" ht="23.25">
      <c r="A8" s="15">
        <v>2</v>
      </c>
      <c r="B8" s="16" t="s">
        <v>14</v>
      </c>
      <c r="C8" s="17">
        <v>32</v>
      </c>
      <c r="D8" s="18">
        <v>11754.68</v>
      </c>
      <c r="E8" s="19">
        <f aca="true" t="shared" si="0" ref="E8:E24">(D8/$D$25)*100</f>
        <v>16.86907718541221</v>
      </c>
      <c r="F8" s="17">
        <v>32</v>
      </c>
      <c r="G8" s="18">
        <v>11667.77</v>
      </c>
      <c r="H8" s="19">
        <f aca="true" t="shared" si="1" ref="H8:H24">(G8/$G$25)*100</f>
        <v>16.250629536282464</v>
      </c>
      <c r="I8" s="20">
        <f aca="true" t="shared" si="2" ref="I8:I24">(D8-G8)</f>
        <v>86.90999999999985</v>
      </c>
      <c r="J8" s="20">
        <f aca="true" t="shared" si="3" ref="J8:J25">(D8-G8)/G8*100</f>
        <v>0.7448724134946082</v>
      </c>
    </row>
    <row r="9" spans="1:10" ht="23.25">
      <c r="A9" s="15">
        <v>3</v>
      </c>
      <c r="B9" s="16" t="s">
        <v>15</v>
      </c>
      <c r="C9" s="17">
        <v>270</v>
      </c>
      <c r="D9" s="18">
        <v>1287.75</v>
      </c>
      <c r="E9" s="19">
        <f t="shared" si="0"/>
        <v>1.8480430046172736</v>
      </c>
      <c r="F9" s="17">
        <v>271</v>
      </c>
      <c r="G9" s="18">
        <v>1253.62</v>
      </c>
      <c r="H9" s="19">
        <f t="shared" si="1"/>
        <v>1.746016093844361</v>
      </c>
      <c r="I9" s="20">
        <f t="shared" si="2"/>
        <v>34.13000000000011</v>
      </c>
      <c r="J9" s="20">
        <f t="shared" si="3"/>
        <v>2.72251559483736</v>
      </c>
    </row>
    <row r="10" spans="1:10" ht="23.25">
      <c r="A10" s="15">
        <v>4</v>
      </c>
      <c r="B10" s="16" t="s">
        <v>16</v>
      </c>
      <c r="C10" s="21">
        <v>7</v>
      </c>
      <c r="D10" s="22">
        <v>113.84</v>
      </c>
      <c r="E10" s="19">
        <f t="shared" si="0"/>
        <v>0.16337116338235716</v>
      </c>
      <c r="F10" s="21">
        <v>7</v>
      </c>
      <c r="G10" s="22">
        <v>123.17</v>
      </c>
      <c r="H10" s="19">
        <f t="shared" si="1"/>
        <v>0.17154863697038172</v>
      </c>
      <c r="I10" s="20">
        <f t="shared" si="2"/>
        <v>-9.329999999999998</v>
      </c>
      <c r="J10" s="20">
        <f t="shared" si="3"/>
        <v>-7.5748964845335705</v>
      </c>
    </row>
    <row r="11" spans="1:10" ht="23.25">
      <c r="A11" s="15">
        <v>5</v>
      </c>
      <c r="B11" s="16" t="s">
        <v>17</v>
      </c>
      <c r="C11" s="17">
        <v>788</v>
      </c>
      <c r="D11" s="18">
        <v>3984.72</v>
      </c>
      <c r="E11" s="19">
        <f t="shared" si="0"/>
        <v>5.718449948637967</v>
      </c>
      <c r="F11" s="17">
        <v>795</v>
      </c>
      <c r="G11" s="18">
        <v>3918.72</v>
      </c>
      <c r="H11" s="19">
        <f t="shared" si="1"/>
        <v>5.457912435402893</v>
      </c>
      <c r="I11" s="20">
        <f t="shared" si="2"/>
        <v>66</v>
      </c>
      <c r="J11" s="20">
        <f t="shared" si="3"/>
        <v>1.68422341989221</v>
      </c>
    </row>
    <row r="12" spans="1:10" ht="23.25">
      <c r="A12" s="15">
        <v>6</v>
      </c>
      <c r="B12" s="16" t="s">
        <v>18</v>
      </c>
      <c r="C12" s="21"/>
      <c r="D12" s="22"/>
      <c r="E12" s="19">
        <f t="shared" si="0"/>
        <v>0</v>
      </c>
      <c r="F12" s="21"/>
      <c r="G12" s="22">
        <v>0</v>
      </c>
      <c r="H12" s="19">
        <f t="shared" si="1"/>
        <v>0</v>
      </c>
      <c r="I12" s="20">
        <f t="shared" si="2"/>
        <v>0</v>
      </c>
      <c r="J12" s="20">
        <v>0</v>
      </c>
    </row>
    <row r="13" spans="1:10" ht="23.25">
      <c r="A13" s="15">
        <v>7</v>
      </c>
      <c r="B13" s="23" t="s">
        <v>19</v>
      </c>
      <c r="C13" s="24">
        <v>1</v>
      </c>
      <c r="D13" s="25">
        <v>577.78</v>
      </c>
      <c r="E13" s="19">
        <f t="shared" si="0"/>
        <v>0.8291689281364925</v>
      </c>
      <c r="F13" s="24">
        <v>1</v>
      </c>
      <c r="G13" s="25">
        <v>490.3</v>
      </c>
      <c r="H13" s="19">
        <f t="shared" si="1"/>
        <v>0.6828797329429095</v>
      </c>
      <c r="I13" s="20">
        <f t="shared" si="2"/>
        <v>87.47999999999996</v>
      </c>
      <c r="J13" s="20">
        <f t="shared" si="3"/>
        <v>17.842137466857018</v>
      </c>
    </row>
    <row r="14" spans="1:10" ht="23.25">
      <c r="A14" s="15">
        <v>8</v>
      </c>
      <c r="B14" s="23" t="s">
        <v>20</v>
      </c>
      <c r="C14" s="24">
        <v>2</v>
      </c>
      <c r="D14" s="25">
        <v>619.19</v>
      </c>
      <c r="E14" s="19">
        <f t="shared" si="0"/>
        <v>0.8885961933830088</v>
      </c>
      <c r="F14" s="24">
        <v>2</v>
      </c>
      <c r="G14" s="25">
        <v>615.49</v>
      </c>
      <c r="H14" s="19">
        <f t="shared" si="1"/>
        <v>0.8572417842729582</v>
      </c>
      <c r="I14" s="20">
        <f t="shared" si="2"/>
        <v>3.7000000000000455</v>
      </c>
      <c r="J14" s="20">
        <f t="shared" si="3"/>
        <v>0.601147053567084</v>
      </c>
    </row>
    <row r="15" spans="1:10" ht="23.25">
      <c r="A15" s="15">
        <v>9</v>
      </c>
      <c r="B15" s="16" t="s">
        <v>21</v>
      </c>
      <c r="C15" s="21">
        <v>2</v>
      </c>
      <c r="D15" s="22">
        <v>5799.9</v>
      </c>
      <c r="E15" s="19">
        <f t="shared" si="0"/>
        <v>8.323404870883108</v>
      </c>
      <c r="F15" s="21">
        <v>0</v>
      </c>
      <c r="G15" s="22">
        <v>0</v>
      </c>
      <c r="H15" s="19">
        <f t="shared" si="1"/>
        <v>0</v>
      </c>
      <c r="I15" s="20">
        <f t="shared" si="2"/>
        <v>5799.9</v>
      </c>
      <c r="J15" s="20">
        <v>0</v>
      </c>
    </row>
    <row r="16" spans="1:10" ht="23.25">
      <c r="A16" s="15">
        <v>10</v>
      </c>
      <c r="B16" s="16" t="s">
        <v>22</v>
      </c>
      <c r="C16" s="21">
        <v>163</v>
      </c>
      <c r="D16" s="22">
        <v>32232.61</v>
      </c>
      <c r="E16" s="19">
        <f t="shared" si="0"/>
        <v>46.2568428895801</v>
      </c>
      <c r="F16" s="21">
        <v>168</v>
      </c>
      <c r="G16" s="22">
        <v>31689.87</v>
      </c>
      <c r="H16" s="19">
        <f t="shared" si="1"/>
        <v>44.13699768018666</v>
      </c>
      <c r="I16" s="20">
        <f t="shared" si="2"/>
        <v>542.7400000000016</v>
      </c>
      <c r="J16" s="20">
        <f t="shared" si="3"/>
        <v>1.7126608597637087</v>
      </c>
    </row>
    <row r="17" spans="1:10" ht="23.25">
      <c r="A17" s="15">
        <v>11</v>
      </c>
      <c r="B17" s="16" t="s">
        <v>23</v>
      </c>
      <c r="C17" s="24">
        <v>3</v>
      </c>
      <c r="D17" s="25">
        <v>65.47</v>
      </c>
      <c r="E17" s="19">
        <f t="shared" si="0"/>
        <v>0.09395564007943535</v>
      </c>
      <c r="F17" s="24">
        <v>3</v>
      </c>
      <c r="G17" s="25">
        <v>65.44</v>
      </c>
      <c r="H17" s="19">
        <f t="shared" si="1"/>
        <v>0.0911434830181195</v>
      </c>
      <c r="I17" s="20">
        <f t="shared" si="2"/>
        <v>0.030000000000001137</v>
      </c>
      <c r="J17" s="20">
        <f t="shared" si="3"/>
        <v>0.045843520782397826</v>
      </c>
    </row>
    <row r="18" spans="1:10" ht="23.25">
      <c r="A18" s="15">
        <v>12</v>
      </c>
      <c r="B18" s="16" t="s">
        <v>24</v>
      </c>
      <c r="C18" s="21">
        <v>17</v>
      </c>
      <c r="D18" s="26">
        <v>2622.81</v>
      </c>
      <c r="E18" s="19">
        <f t="shared" si="0"/>
        <v>3.763980332316234</v>
      </c>
      <c r="F18" s="21">
        <v>14</v>
      </c>
      <c r="G18" s="26">
        <v>2357.42</v>
      </c>
      <c r="H18" s="19">
        <f t="shared" si="1"/>
        <v>3.283365980082141</v>
      </c>
      <c r="I18" s="20">
        <f t="shared" si="2"/>
        <v>265.3899999999999</v>
      </c>
      <c r="J18" s="20">
        <f t="shared" si="3"/>
        <v>11.257646070704407</v>
      </c>
    </row>
    <row r="19" spans="1:10" ht="23.25">
      <c r="A19" s="15">
        <v>13</v>
      </c>
      <c r="B19" s="16" t="s">
        <v>25</v>
      </c>
      <c r="C19" s="21">
        <v>52</v>
      </c>
      <c r="D19" s="26">
        <v>423.95</v>
      </c>
      <c r="E19" s="19">
        <f t="shared" si="0"/>
        <v>0.6084083337662536</v>
      </c>
      <c r="F19" s="21">
        <v>52</v>
      </c>
      <c r="G19" s="26">
        <v>428.49</v>
      </c>
      <c r="H19" s="19">
        <f t="shared" si="1"/>
        <v>0.5967920390958746</v>
      </c>
      <c r="I19" s="20">
        <f t="shared" si="2"/>
        <v>-4.5400000000000205</v>
      </c>
      <c r="J19" s="20">
        <f t="shared" si="3"/>
        <v>-1.059534644915872</v>
      </c>
    </row>
    <row r="20" spans="1:10" ht="23.25">
      <c r="A20" s="15">
        <v>14</v>
      </c>
      <c r="B20" s="16" t="s">
        <v>26</v>
      </c>
      <c r="C20" s="21">
        <v>2</v>
      </c>
      <c r="D20" s="26">
        <v>425.21</v>
      </c>
      <c r="E20" s="19">
        <f t="shared" si="0"/>
        <v>0.6102165528971546</v>
      </c>
      <c r="F20" s="21">
        <v>2</v>
      </c>
      <c r="G20" s="26">
        <v>371.39</v>
      </c>
      <c r="H20" s="19">
        <f t="shared" si="1"/>
        <v>0.5172643361567758</v>
      </c>
      <c r="I20" s="20">
        <f t="shared" si="2"/>
        <v>53.81999999999999</v>
      </c>
      <c r="J20" s="20">
        <f t="shared" si="3"/>
        <v>14.491504887045961</v>
      </c>
    </row>
    <row r="21" spans="1:10" ht="23.25">
      <c r="A21" s="15">
        <v>15</v>
      </c>
      <c r="B21" s="16" t="s">
        <v>27</v>
      </c>
      <c r="C21" s="17">
        <v>2</v>
      </c>
      <c r="D21" s="27">
        <v>75.57</v>
      </c>
      <c r="E21" s="19">
        <f t="shared" si="0"/>
        <v>0.10845009501761005</v>
      </c>
      <c r="F21" s="17">
        <v>2</v>
      </c>
      <c r="G21" s="27">
        <v>65.42</v>
      </c>
      <c r="H21" s="19">
        <f t="shared" si="1"/>
        <v>0.09111562743040004</v>
      </c>
      <c r="I21" s="20">
        <f t="shared" si="2"/>
        <v>10.149999999999991</v>
      </c>
      <c r="J21" s="20">
        <f t="shared" si="3"/>
        <v>15.51513298685416</v>
      </c>
    </row>
    <row r="22" spans="1:10" ht="23.25">
      <c r="A22" s="15">
        <v>16</v>
      </c>
      <c r="B22" s="16" t="s">
        <v>28</v>
      </c>
      <c r="C22" s="21">
        <v>1</v>
      </c>
      <c r="D22" s="26">
        <v>415.69</v>
      </c>
      <c r="E22" s="19">
        <f t="shared" si="0"/>
        <v>0.5965544527970137</v>
      </c>
      <c r="F22" s="21">
        <v>1</v>
      </c>
      <c r="G22" s="26">
        <v>421.32</v>
      </c>
      <c r="H22" s="19">
        <f t="shared" si="1"/>
        <v>0.5868058108984431</v>
      </c>
      <c r="I22" s="20">
        <f t="shared" si="2"/>
        <v>-5.6299999999999955</v>
      </c>
      <c r="J22" s="20">
        <f t="shared" si="3"/>
        <v>-1.3362764644450762</v>
      </c>
    </row>
    <row r="23" spans="1:10" ht="23.25">
      <c r="A23" s="15">
        <v>17</v>
      </c>
      <c r="B23" s="16" t="s">
        <v>29</v>
      </c>
      <c r="C23" s="21">
        <v>3</v>
      </c>
      <c r="D23" s="26">
        <v>1740.14</v>
      </c>
      <c r="E23" s="19">
        <f t="shared" si="0"/>
        <v>2.49726542733815</v>
      </c>
      <c r="F23" s="21">
        <v>2</v>
      </c>
      <c r="G23" s="26">
        <v>1521.81</v>
      </c>
      <c r="H23" s="19">
        <f t="shared" si="1"/>
        <v>2.11954559736865</v>
      </c>
      <c r="I23" s="20">
        <f t="shared" si="2"/>
        <v>218.33000000000015</v>
      </c>
      <c r="J23" s="20">
        <f t="shared" si="3"/>
        <v>14.346731852202321</v>
      </c>
    </row>
    <row r="24" spans="1:11" ht="24" thickBot="1">
      <c r="A24" s="28">
        <v>18</v>
      </c>
      <c r="B24" s="29" t="s">
        <v>30</v>
      </c>
      <c r="C24" s="24">
        <v>31</v>
      </c>
      <c r="D24" s="30">
        <v>6669.22</v>
      </c>
      <c r="E24" s="19">
        <f t="shared" si="0"/>
        <v>9.570961263640934</v>
      </c>
      <c r="F24" s="24">
        <v>30</v>
      </c>
      <c r="G24" s="30">
        <v>6544.97</v>
      </c>
      <c r="H24" s="19">
        <f t="shared" si="1"/>
        <v>9.115699297816345</v>
      </c>
      <c r="I24" s="20">
        <f t="shared" si="2"/>
        <v>124.25</v>
      </c>
      <c r="J24" s="20">
        <f t="shared" si="3"/>
        <v>1.8984044235496877</v>
      </c>
      <c r="K24" s="31"/>
    </row>
    <row r="25" spans="1:10" ht="24" thickBot="1">
      <c r="A25" s="47" t="s">
        <v>31</v>
      </c>
      <c r="B25" s="48"/>
      <c r="C25" s="32">
        <f aca="true" t="shared" si="4" ref="C25:I25">SUM(C7:C24)</f>
        <v>1391</v>
      </c>
      <c r="D25" s="33">
        <f t="shared" si="4"/>
        <v>69681.81999999999</v>
      </c>
      <c r="E25" s="34">
        <f t="shared" si="4"/>
        <v>100.00000000000001</v>
      </c>
      <c r="F25" s="32">
        <f t="shared" si="4"/>
        <v>1398</v>
      </c>
      <c r="G25" s="33">
        <f t="shared" si="4"/>
        <v>71798.87999999999</v>
      </c>
      <c r="H25" s="34">
        <f t="shared" si="4"/>
        <v>100</v>
      </c>
      <c r="I25" s="35">
        <f t="shared" si="4"/>
        <v>-2117.0599999999968</v>
      </c>
      <c r="J25" s="20">
        <f t="shared" si="3"/>
        <v>-2.948597526869497</v>
      </c>
    </row>
    <row r="26" spans="1:10" ht="23.25">
      <c r="A26" s="36"/>
      <c r="B26" s="37"/>
      <c r="C26" s="38"/>
      <c r="D26" s="39"/>
      <c r="E26" s="40"/>
      <c r="F26" s="38"/>
      <c r="G26" s="39"/>
      <c r="H26" s="40"/>
      <c r="I26" s="41"/>
      <c r="J26" s="42"/>
    </row>
    <row r="27" spans="2:10" ht="21">
      <c r="B27" s="43" t="s">
        <v>32</v>
      </c>
      <c r="H27" s="44" t="s">
        <v>33</v>
      </c>
      <c r="J27" s="45"/>
    </row>
    <row r="28" spans="2:10" ht="21">
      <c r="B28" s="46" t="s">
        <v>34</v>
      </c>
      <c r="H28" s="44" t="s">
        <v>35</v>
      </c>
      <c r="J28" s="45"/>
    </row>
    <row r="29" ht="21">
      <c r="B29" s="46"/>
    </row>
    <row r="30" ht="21">
      <c r="B30" s="46"/>
    </row>
    <row r="31" ht="21">
      <c r="B31" s="46"/>
    </row>
    <row r="32" ht="21">
      <c r="B32" s="46"/>
    </row>
  </sheetData>
  <sheetProtection/>
  <mergeCells count="6">
    <mergeCell ref="A25:B25"/>
    <mergeCell ref="A1:J1"/>
    <mergeCell ref="A2:J2"/>
    <mergeCell ref="C4:E4"/>
    <mergeCell ref="F4:H4"/>
    <mergeCell ref="I4:J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6">
      <selection activeCell="P12" sqref="P12"/>
    </sheetView>
  </sheetViews>
  <sheetFormatPr defaultColWidth="9.140625" defaultRowHeight="21.75"/>
  <cols>
    <col min="1" max="1" width="6.57421875" style="1" customWidth="1"/>
    <col min="2" max="2" width="52.7109375" style="46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3.25">
      <c r="A1" s="9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3.25">
      <c r="A2" s="90" t="s">
        <v>71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5.25" customHeight="1" thickBot="1">
      <c r="A3" s="2"/>
      <c r="B3" s="91"/>
      <c r="C3" s="3"/>
      <c r="D3" s="2"/>
      <c r="E3" s="2"/>
      <c r="F3" s="3"/>
      <c r="G3" s="3"/>
      <c r="H3" s="3"/>
      <c r="I3" s="2"/>
      <c r="J3" s="2"/>
    </row>
    <row r="4" spans="1:10" ht="22.5" customHeight="1" thickBot="1">
      <c r="A4" s="4"/>
      <c r="B4" s="92"/>
      <c r="C4" s="53" t="s">
        <v>72</v>
      </c>
      <c r="D4" s="51"/>
      <c r="E4" s="52"/>
      <c r="F4" s="53" t="s">
        <v>67</v>
      </c>
      <c r="G4" s="51"/>
      <c r="H4" s="52"/>
      <c r="I4" s="54" t="s">
        <v>4</v>
      </c>
      <c r="J4" s="52"/>
    </row>
    <row r="5" spans="1:10" ht="23.25">
      <c r="A5" s="5" t="s">
        <v>5</v>
      </c>
      <c r="B5" s="93" t="s">
        <v>6</v>
      </c>
      <c r="C5" s="6" t="s">
        <v>7</v>
      </c>
      <c r="D5" s="7" t="s">
        <v>8</v>
      </c>
      <c r="E5" s="8" t="s">
        <v>9</v>
      </c>
      <c r="F5" s="6" t="s">
        <v>7</v>
      </c>
      <c r="G5" s="7" t="s">
        <v>8</v>
      </c>
      <c r="H5" s="8" t="s">
        <v>9</v>
      </c>
      <c r="I5" s="9" t="s">
        <v>8</v>
      </c>
      <c r="J5" s="8" t="s">
        <v>10</v>
      </c>
    </row>
    <row r="6" spans="1:10" ht="24" thickBot="1">
      <c r="A6" s="10"/>
      <c r="B6" s="94"/>
      <c r="C6" s="11" t="s">
        <v>11</v>
      </c>
      <c r="D6" s="12" t="s">
        <v>12</v>
      </c>
      <c r="E6" s="13"/>
      <c r="F6" s="11" t="s">
        <v>11</v>
      </c>
      <c r="G6" s="12" t="s">
        <v>12</v>
      </c>
      <c r="H6" s="13"/>
      <c r="I6" s="14" t="s">
        <v>12</v>
      </c>
      <c r="J6" s="13"/>
    </row>
    <row r="7" spans="1:10" ht="23.25">
      <c r="A7" s="15">
        <v>1</v>
      </c>
      <c r="B7" s="16" t="s">
        <v>22</v>
      </c>
      <c r="C7" s="76">
        <v>152</v>
      </c>
      <c r="D7" s="77">
        <f>37056350.17/1000</f>
        <v>37056.350170000005</v>
      </c>
      <c r="E7" s="73">
        <f aca="true" t="shared" si="0" ref="E7:E25">(D7/$D$26)*100</f>
        <v>43.16304182327254</v>
      </c>
      <c r="F7" s="76">
        <v>158</v>
      </c>
      <c r="G7" s="76">
        <v>33971.75181</v>
      </c>
      <c r="H7" s="129">
        <f aca="true" t="shared" si="1" ref="H7:H25">(G7/$G$26)*100</f>
        <v>43.01290952410339</v>
      </c>
      <c r="I7" s="74">
        <f aca="true" t="shared" si="2" ref="I7:I25">(D7-G7)</f>
        <v>3084.5983600000036</v>
      </c>
      <c r="J7" s="122">
        <f aca="true" t="shared" si="3" ref="J7:J23">(D7-G7)/G7*100</f>
        <v>9.079891956269428</v>
      </c>
    </row>
    <row r="8" spans="1:10" ht="23.25">
      <c r="A8" s="15">
        <v>2</v>
      </c>
      <c r="B8" s="16" t="s">
        <v>14</v>
      </c>
      <c r="C8" s="76">
        <v>32</v>
      </c>
      <c r="D8" s="77">
        <f>(204523162.88+12191966222.96)/1000000</f>
        <v>12396.489385839997</v>
      </c>
      <c r="E8" s="73">
        <f t="shared" si="0"/>
        <v>14.4393656517189</v>
      </c>
      <c r="F8" s="76">
        <v>32</v>
      </c>
      <c r="G8" s="76">
        <v>12260.521300290002</v>
      </c>
      <c r="H8" s="73">
        <f t="shared" si="1"/>
        <v>15.523506010440158</v>
      </c>
      <c r="I8" s="74">
        <f t="shared" si="2"/>
        <v>135.96808554999552</v>
      </c>
      <c r="J8" s="78">
        <f t="shared" si="3"/>
        <v>1.1089910634287583</v>
      </c>
    </row>
    <row r="9" spans="1:10" ht="23.25">
      <c r="A9" s="15">
        <v>3</v>
      </c>
      <c r="B9" s="16" t="s">
        <v>30</v>
      </c>
      <c r="C9" s="76">
        <v>40</v>
      </c>
      <c r="D9" s="77">
        <f>12204417.74/1000</f>
        <v>12204.41774</v>
      </c>
      <c r="E9" s="73">
        <f t="shared" si="0"/>
        <v>14.21564160862174</v>
      </c>
      <c r="F9" s="76">
        <v>42</v>
      </c>
      <c r="G9" s="76">
        <v>9596.096160000001</v>
      </c>
      <c r="H9" s="73">
        <f t="shared" si="1"/>
        <v>12.14997737600262</v>
      </c>
      <c r="I9" s="74">
        <f t="shared" si="2"/>
        <v>2608.32158</v>
      </c>
      <c r="J9" s="78">
        <f t="shared" si="3"/>
        <v>27.181069640302557</v>
      </c>
    </row>
    <row r="10" spans="1:10" ht="23.25">
      <c r="A10" s="15">
        <v>4</v>
      </c>
      <c r="B10" s="16" t="s">
        <v>58</v>
      </c>
      <c r="C10" s="71">
        <v>2</v>
      </c>
      <c r="D10" s="72">
        <f>5995002905.22/1000000</f>
        <v>5995.002905220001</v>
      </c>
      <c r="E10" s="73">
        <f t="shared" si="0"/>
        <v>6.98294786026012</v>
      </c>
      <c r="F10" s="76">
        <v>2</v>
      </c>
      <c r="G10" s="76">
        <v>5946.47635646</v>
      </c>
      <c r="H10" s="73">
        <f t="shared" si="1"/>
        <v>7.529056815737816</v>
      </c>
      <c r="I10" s="74">
        <f t="shared" si="2"/>
        <v>48.52654876000088</v>
      </c>
      <c r="J10" s="78">
        <f t="shared" si="3"/>
        <v>0.8160555234913814</v>
      </c>
    </row>
    <row r="11" spans="1:10" ht="23.25">
      <c r="A11" s="15">
        <v>5</v>
      </c>
      <c r="B11" s="16" t="s">
        <v>38</v>
      </c>
      <c r="C11" s="76">
        <v>782</v>
      </c>
      <c r="D11" s="77">
        <f>4245747445.26/1000000</f>
        <v>4245.74744526</v>
      </c>
      <c r="E11" s="73">
        <f t="shared" si="0"/>
        <v>4.945424298671827</v>
      </c>
      <c r="F11" s="76">
        <v>787</v>
      </c>
      <c r="G11" s="76">
        <v>4190.28585511</v>
      </c>
      <c r="H11" s="73">
        <f t="shared" si="1"/>
        <v>5.305478132950502</v>
      </c>
      <c r="I11" s="74">
        <f t="shared" si="2"/>
        <v>55.46159015000012</v>
      </c>
      <c r="J11" s="78">
        <f t="shared" si="3"/>
        <v>1.3235753375241792</v>
      </c>
    </row>
    <row r="12" spans="1:10" ht="23.25">
      <c r="A12" s="15">
        <v>6</v>
      </c>
      <c r="B12" s="16" t="s">
        <v>24</v>
      </c>
      <c r="C12" s="71">
        <v>22</v>
      </c>
      <c r="D12" s="72">
        <f>3915111403.65/1000000</f>
        <v>3915.1114036500003</v>
      </c>
      <c r="E12" s="73">
        <f t="shared" si="0"/>
        <v>4.56030117599993</v>
      </c>
      <c r="F12" s="76">
        <v>21</v>
      </c>
      <c r="G12" s="76">
        <v>3397.08480793</v>
      </c>
      <c r="H12" s="73">
        <f t="shared" si="1"/>
        <v>4.301176527675781</v>
      </c>
      <c r="I12" s="74">
        <f t="shared" si="2"/>
        <v>518.0265957200004</v>
      </c>
      <c r="J12" s="78">
        <f t="shared" si="3"/>
        <v>15.249151110703588</v>
      </c>
    </row>
    <row r="13" spans="1:10" ht="23.25">
      <c r="A13" s="15">
        <v>7</v>
      </c>
      <c r="B13" s="23" t="s">
        <v>26</v>
      </c>
      <c r="C13" s="79">
        <v>4</v>
      </c>
      <c r="D13" s="80">
        <f>2215016.15/1000</f>
        <v>2215.01615</v>
      </c>
      <c r="E13" s="73">
        <f t="shared" si="0"/>
        <v>2.580039164220638</v>
      </c>
      <c r="F13" s="76">
        <v>3</v>
      </c>
      <c r="G13" s="76">
        <v>2112.63245</v>
      </c>
      <c r="H13" s="73">
        <f t="shared" si="1"/>
        <v>2.674883207017486</v>
      </c>
      <c r="I13" s="74">
        <f t="shared" si="2"/>
        <v>102.38369999999986</v>
      </c>
      <c r="J13" s="78">
        <f t="shared" si="3"/>
        <v>4.8462618284595536</v>
      </c>
    </row>
    <row r="14" spans="1:10" ht="23.25">
      <c r="A14" s="15">
        <v>8</v>
      </c>
      <c r="B14" s="23" t="s">
        <v>29</v>
      </c>
      <c r="C14" s="79">
        <v>21</v>
      </c>
      <c r="D14" s="80">
        <f>2027921395.9/1000000</f>
        <v>2027.9213959</v>
      </c>
      <c r="E14" s="73">
        <f t="shared" si="0"/>
        <v>2.362112178452056</v>
      </c>
      <c r="F14" s="76">
        <v>18</v>
      </c>
      <c r="G14" s="76">
        <v>1861.20373611</v>
      </c>
      <c r="H14" s="73">
        <f t="shared" si="1"/>
        <v>2.356539879219806</v>
      </c>
      <c r="I14" s="74">
        <f t="shared" si="2"/>
        <v>166.7176597900002</v>
      </c>
      <c r="J14" s="78">
        <f t="shared" si="3"/>
        <v>8.95751800597863</v>
      </c>
    </row>
    <row r="15" spans="1:10" ht="23.25">
      <c r="A15" s="15">
        <v>9</v>
      </c>
      <c r="B15" s="16" t="s">
        <v>15</v>
      </c>
      <c r="C15" s="71">
        <v>267</v>
      </c>
      <c r="D15" s="72">
        <f>1344477.45/1000</f>
        <v>1344.4774499999999</v>
      </c>
      <c r="E15" s="73">
        <f t="shared" si="0"/>
        <v>1.566040264045702</v>
      </c>
      <c r="F15" s="76">
        <v>268</v>
      </c>
      <c r="G15" s="76">
        <v>1364.63399</v>
      </c>
      <c r="H15" s="73">
        <f t="shared" si="1"/>
        <v>1.727814293289052</v>
      </c>
      <c r="I15" s="74">
        <f t="shared" si="2"/>
        <v>-20.156540000000177</v>
      </c>
      <c r="J15" s="78">
        <f t="shared" si="3"/>
        <v>-1.4770656562643714</v>
      </c>
    </row>
    <row r="16" spans="1:10" ht="23.25">
      <c r="A16" s="15">
        <v>10</v>
      </c>
      <c r="B16" s="16" t="s">
        <v>13</v>
      </c>
      <c r="C16" s="71">
        <v>18</v>
      </c>
      <c r="D16" s="72">
        <f>1076250.08/1000</f>
        <v>1076.25008</v>
      </c>
      <c r="E16" s="73">
        <f t="shared" si="0"/>
        <v>1.2536104338993623</v>
      </c>
      <c r="F16" s="76">
        <v>16</v>
      </c>
      <c r="G16" s="76">
        <v>1033.74463</v>
      </c>
      <c r="H16" s="73">
        <f t="shared" si="1"/>
        <v>1.308862860234635</v>
      </c>
      <c r="I16" s="74">
        <f t="shared" si="2"/>
        <v>42.50545000000011</v>
      </c>
      <c r="J16" s="78">
        <f t="shared" si="3"/>
        <v>4.1117940317619945</v>
      </c>
    </row>
    <row r="17" spans="1:10" ht="23.25">
      <c r="A17" s="15">
        <v>11</v>
      </c>
      <c r="B17" s="16" t="s">
        <v>19</v>
      </c>
      <c r="C17" s="79">
        <v>1</v>
      </c>
      <c r="D17" s="80">
        <f>1010420.95/1000</f>
        <v>1010.42095</v>
      </c>
      <c r="E17" s="73">
        <f t="shared" si="0"/>
        <v>1.1769330094270523</v>
      </c>
      <c r="F17" s="76">
        <v>1</v>
      </c>
      <c r="G17" s="76">
        <v>938.44799</v>
      </c>
      <c r="H17" s="73">
        <f t="shared" si="1"/>
        <v>1.1882042089764897</v>
      </c>
      <c r="I17" s="74">
        <f t="shared" si="2"/>
        <v>71.97295999999994</v>
      </c>
      <c r="J17" s="78">
        <f t="shared" si="3"/>
        <v>7.6693605577438495</v>
      </c>
    </row>
    <row r="18" spans="1:10" ht="23.25">
      <c r="A18" s="15">
        <v>12</v>
      </c>
      <c r="B18" s="16" t="s">
        <v>20</v>
      </c>
      <c r="C18" s="71">
        <v>3</v>
      </c>
      <c r="D18" s="83">
        <f>847755.88/1000</f>
        <v>847.75588</v>
      </c>
      <c r="E18" s="73">
        <f t="shared" si="0"/>
        <v>0.9874615912386607</v>
      </c>
      <c r="F18" s="76">
        <v>3</v>
      </c>
      <c r="G18" s="76">
        <v>844.4984000000001</v>
      </c>
      <c r="H18" s="73">
        <f t="shared" si="1"/>
        <v>1.0692511082621758</v>
      </c>
      <c r="I18" s="74">
        <f t="shared" si="2"/>
        <v>3.257479999999987</v>
      </c>
      <c r="J18" s="78">
        <f t="shared" si="3"/>
        <v>0.3857295644373023</v>
      </c>
    </row>
    <row r="19" spans="1:10" ht="23.25">
      <c r="A19" s="15">
        <v>13</v>
      </c>
      <c r="B19" s="16" t="s">
        <v>28</v>
      </c>
      <c r="C19" s="71">
        <v>2</v>
      </c>
      <c r="D19" s="83">
        <f>491395023.48/1000000</f>
        <v>491.39502348</v>
      </c>
      <c r="E19" s="73">
        <f t="shared" si="0"/>
        <v>0.5723743394293175</v>
      </c>
      <c r="F19" s="76">
        <v>2</v>
      </c>
      <c r="G19" s="76">
        <v>500.82464870999996</v>
      </c>
      <c r="H19" s="73">
        <f t="shared" si="1"/>
        <v>0.6341128777487114</v>
      </c>
      <c r="I19" s="74">
        <f t="shared" si="2"/>
        <v>-9.429625229999942</v>
      </c>
      <c r="J19" s="78">
        <f t="shared" si="3"/>
        <v>-1.8828197162995706</v>
      </c>
    </row>
    <row r="20" spans="1:10" ht="23.25">
      <c r="A20" s="15">
        <v>14</v>
      </c>
      <c r="B20" s="16" t="s">
        <v>25</v>
      </c>
      <c r="C20" s="71">
        <v>60</v>
      </c>
      <c r="D20" s="83">
        <f>756187.84/1000</f>
        <v>756.1878399999999</v>
      </c>
      <c r="E20" s="73">
        <f t="shared" si="0"/>
        <v>0.88080361974219</v>
      </c>
      <c r="F20" s="76">
        <v>59</v>
      </c>
      <c r="G20" s="76">
        <v>714.05852</v>
      </c>
      <c r="H20" s="73">
        <f t="shared" si="1"/>
        <v>0.9040962823304923</v>
      </c>
      <c r="I20" s="74">
        <f t="shared" si="2"/>
        <v>42.12931999999989</v>
      </c>
      <c r="J20" s="78">
        <f t="shared" si="3"/>
        <v>5.899981418889854</v>
      </c>
    </row>
    <row r="21" spans="1:10" ht="23.25">
      <c r="A21" s="139">
        <v>15</v>
      </c>
      <c r="B21" s="16" t="s">
        <v>69</v>
      </c>
      <c r="C21" s="71">
        <v>6</v>
      </c>
      <c r="D21" s="83">
        <f>188593.06/1000</f>
        <v>188.59306</v>
      </c>
      <c r="E21" s="73">
        <f t="shared" si="0"/>
        <v>0.21967220460230624</v>
      </c>
      <c r="F21" s="76">
        <v>6</v>
      </c>
      <c r="G21" s="76">
        <v>168.10576999999998</v>
      </c>
      <c r="H21" s="73">
        <f t="shared" si="1"/>
        <v>0.2128450224153964</v>
      </c>
      <c r="I21" s="74">
        <f t="shared" si="2"/>
        <v>20.48729000000003</v>
      </c>
      <c r="J21" s="78">
        <f t="shared" si="3"/>
        <v>12.187142654294396</v>
      </c>
    </row>
    <row r="22" spans="1:10" ht="23.25">
      <c r="A22" s="15">
        <v>16</v>
      </c>
      <c r="B22" s="23" t="s">
        <v>42</v>
      </c>
      <c r="C22" s="71">
        <v>3</v>
      </c>
      <c r="D22" s="83">
        <f>66510.68/1000</f>
        <v>66.51068</v>
      </c>
      <c r="E22" s="73">
        <f t="shared" si="0"/>
        <v>0.07747129032849097</v>
      </c>
      <c r="F22" s="76">
        <v>3</v>
      </c>
      <c r="G22" s="76">
        <v>66.61813000000001</v>
      </c>
      <c r="H22" s="73">
        <f t="shared" si="1"/>
        <v>0.0843477137823514</v>
      </c>
      <c r="I22" s="74">
        <f t="shared" si="2"/>
        <v>-0.10745000000001426</v>
      </c>
      <c r="J22" s="78">
        <f t="shared" si="3"/>
        <v>-0.16129242895292054</v>
      </c>
    </row>
    <row r="23" spans="1:10" ht="23.25">
      <c r="A23" s="15">
        <v>17</v>
      </c>
      <c r="B23" s="16" t="s">
        <v>59</v>
      </c>
      <c r="C23" s="71">
        <v>2</v>
      </c>
      <c r="D23" s="83">
        <f>14388.36/1000</f>
        <v>14.38836</v>
      </c>
      <c r="E23" s="73">
        <f t="shared" si="0"/>
        <v>0.016759486069167332</v>
      </c>
      <c r="F23" s="76">
        <v>2</v>
      </c>
      <c r="G23" s="76">
        <v>13.37782</v>
      </c>
      <c r="H23" s="73">
        <f t="shared" si="1"/>
        <v>0.01693815981312919</v>
      </c>
      <c r="I23" s="74">
        <f t="shared" si="2"/>
        <v>1.0105400000000007</v>
      </c>
      <c r="J23" s="78">
        <f t="shared" si="3"/>
        <v>7.553846590849635</v>
      </c>
    </row>
    <row r="24" spans="1:10" ht="23.25">
      <c r="A24" s="15">
        <v>18</v>
      </c>
      <c r="B24" s="16" t="s">
        <v>53</v>
      </c>
      <c r="C24" s="71"/>
      <c r="D24" s="83"/>
      <c r="E24" s="73">
        <f t="shared" si="0"/>
        <v>0</v>
      </c>
      <c r="F24" s="76">
        <v>0</v>
      </c>
      <c r="G24" s="76">
        <v>0</v>
      </c>
      <c r="H24" s="73">
        <f t="shared" si="1"/>
        <v>0</v>
      </c>
      <c r="I24" s="74">
        <f t="shared" si="2"/>
        <v>0</v>
      </c>
      <c r="J24" s="78">
        <v>0</v>
      </c>
    </row>
    <row r="25" spans="1:10" ht="24" thickBot="1">
      <c r="A25" s="28">
        <v>19</v>
      </c>
      <c r="B25" s="16" t="s">
        <v>60</v>
      </c>
      <c r="C25" s="79"/>
      <c r="D25" s="85"/>
      <c r="E25" s="73">
        <f t="shared" si="0"/>
        <v>0</v>
      </c>
      <c r="F25" s="76">
        <v>0</v>
      </c>
      <c r="G25" s="76">
        <v>0</v>
      </c>
      <c r="H25" s="130">
        <f t="shared" si="1"/>
        <v>0</v>
      </c>
      <c r="I25" s="74">
        <f t="shared" si="2"/>
        <v>0</v>
      </c>
      <c r="J25" s="78">
        <v>0</v>
      </c>
    </row>
    <row r="26" spans="1:11" ht="24" thickBot="1">
      <c r="A26" s="47" t="s">
        <v>31</v>
      </c>
      <c r="B26" s="48"/>
      <c r="C26" s="86">
        <f aca="true" t="shared" si="4" ref="C26:I26">SUM(C7:C25)</f>
        <v>1417</v>
      </c>
      <c r="D26" s="87">
        <f t="shared" si="4"/>
        <v>85852.03591935</v>
      </c>
      <c r="E26" s="88">
        <f t="shared" si="4"/>
        <v>99.99999999999999</v>
      </c>
      <c r="F26" s="86">
        <f t="shared" si="4"/>
        <v>1423</v>
      </c>
      <c r="G26" s="87">
        <f t="shared" si="4"/>
        <v>78980.36237461</v>
      </c>
      <c r="H26" s="88">
        <f t="shared" si="4"/>
        <v>99.99999999999999</v>
      </c>
      <c r="I26" s="89">
        <f t="shared" si="4"/>
        <v>6871.6735447400015</v>
      </c>
      <c r="J26" s="89">
        <f>(D26-G26)/G26*100</f>
        <v>8.700483687510975</v>
      </c>
      <c r="K26" s="31"/>
    </row>
    <row r="27" spans="1:11" ht="5.25" customHeight="1">
      <c r="A27" s="36"/>
      <c r="B27" s="37"/>
      <c r="C27" s="95"/>
      <c r="D27" s="96"/>
      <c r="E27" s="40"/>
      <c r="F27" s="95"/>
      <c r="G27" s="96"/>
      <c r="H27" s="40"/>
      <c r="I27" s="97"/>
      <c r="J27" s="42"/>
      <c r="K27" s="31"/>
    </row>
    <row r="28" spans="2:10" ht="21">
      <c r="B28" s="43" t="s">
        <v>32</v>
      </c>
      <c r="H28" s="44" t="s">
        <v>33</v>
      </c>
      <c r="J28" s="45"/>
    </row>
    <row r="29" spans="2:10" ht="21">
      <c r="B29" s="46" t="s">
        <v>73</v>
      </c>
      <c r="H29" s="44" t="s">
        <v>35</v>
      </c>
      <c r="J29" s="45"/>
    </row>
  </sheetData>
  <sheetProtection/>
  <mergeCells count="6">
    <mergeCell ref="A1:J1"/>
    <mergeCell ref="A2:J2"/>
    <mergeCell ref="C4:E4"/>
    <mergeCell ref="F4:H4"/>
    <mergeCell ref="I4:J4"/>
    <mergeCell ref="A26:B26"/>
  </mergeCells>
  <printOptions/>
  <pageMargins left="0.7480314960629921" right="0.7480314960629921" top="0.1968503937007874" bottom="0.1968503937007874" header="0.5118110236220472" footer="0.5118110236220472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P7" sqref="P7"/>
    </sheetView>
  </sheetViews>
  <sheetFormatPr defaultColWidth="9.140625" defaultRowHeight="21.75"/>
  <cols>
    <col min="1" max="1" width="6.57421875" style="1" customWidth="1"/>
    <col min="2" max="2" width="53.140625" style="46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3.25">
      <c r="A1" s="9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3.25">
      <c r="A2" s="90" t="s">
        <v>74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5.25" customHeight="1" thickBot="1">
      <c r="A3" s="2"/>
      <c r="B3" s="91"/>
      <c r="C3" s="3"/>
      <c r="D3" s="2"/>
      <c r="E3" s="2"/>
      <c r="F3" s="3"/>
      <c r="G3" s="3"/>
      <c r="H3" s="3"/>
      <c r="I3" s="2"/>
      <c r="J3" s="2"/>
    </row>
    <row r="4" spans="1:10" ht="22.5" customHeight="1" thickBot="1">
      <c r="A4" s="4"/>
      <c r="B4" s="92"/>
      <c r="C4" s="53" t="s">
        <v>75</v>
      </c>
      <c r="D4" s="51"/>
      <c r="E4" s="52"/>
      <c r="F4" s="53" t="s">
        <v>72</v>
      </c>
      <c r="G4" s="51"/>
      <c r="H4" s="52"/>
      <c r="I4" s="54" t="s">
        <v>4</v>
      </c>
      <c r="J4" s="52"/>
    </row>
    <row r="5" spans="1:10" ht="23.25">
      <c r="A5" s="5" t="s">
        <v>5</v>
      </c>
      <c r="B5" s="93" t="s">
        <v>6</v>
      </c>
      <c r="C5" s="6" t="s">
        <v>7</v>
      </c>
      <c r="D5" s="7" t="s">
        <v>8</v>
      </c>
      <c r="E5" s="8" t="s">
        <v>9</v>
      </c>
      <c r="F5" s="6" t="s">
        <v>7</v>
      </c>
      <c r="G5" s="7" t="s">
        <v>8</v>
      </c>
      <c r="H5" s="8" t="s">
        <v>9</v>
      </c>
      <c r="I5" s="9" t="s">
        <v>8</v>
      </c>
      <c r="J5" s="8" t="s">
        <v>10</v>
      </c>
    </row>
    <row r="6" spans="1:10" ht="24" thickBot="1">
      <c r="A6" s="10"/>
      <c r="B6" s="94"/>
      <c r="C6" s="11" t="s">
        <v>11</v>
      </c>
      <c r="D6" s="12" t="s">
        <v>12</v>
      </c>
      <c r="E6" s="13"/>
      <c r="F6" s="11" t="s">
        <v>11</v>
      </c>
      <c r="G6" s="12" t="s">
        <v>12</v>
      </c>
      <c r="H6" s="13"/>
      <c r="I6" s="14" t="s">
        <v>12</v>
      </c>
      <c r="J6" s="13"/>
    </row>
    <row r="7" spans="1:10" ht="23.25">
      <c r="A7" s="15">
        <v>1</v>
      </c>
      <c r="B7" s="16" t="s">
        <v>22</v>
      </c>
      <c r="C7" s="76">
        <v>154</v>
      </c>
      <c r="D7" s="77">
        <v>37582.904200000004</v>
      </c>
      <c r="E7" s="73">
        <v>42.612360213826015</v>
      </c>
      <c r="F7" s="76">
        <v>152</v>
      </c>
      <c r="G7" s="138">
        <v>37056.350170000005</v>
      </c>
      <c r="H7" s="129">
        <v>43.16304182327254</v>
      </c>
      <c r="I7" s="74">
        <v>526.5540299999993</v>
      </c>
      <c r="J7" s="122">
        <v>1.4209549175360656</v>
      </c>
    </row>
    <row r="8" spans="1:10" ht="23.25">
      <c r="A8" s="15">
        <v>2</v>
      </c>
      <c r="B8" s="16" t="s">
        <v>14</v>
      </c>
      <c r="C8" s="76">
        <v>32</v>
      </c>
      <c r="D8" s="77">
        <v>12513.39079451</v>
      </c>
      <c r="E8" s="73">
        <v>14.187969966196349</v>
      </c>
      <c r="F8" s="76">
        <v>32</v>
      </c>
      <c r="G8" s="138">
        <v>12396.489385839997</v>
      </c>
      <c r="H8" s="73">
        <v>14.4393656517189</v>
      </c>
      <c r="I8" s="74">
        <v>116.90140867000264</v>
      </c>
      <c r="J8" s="78">
        <v>0.9430202780114049</v>
      </c>
    </row>
    <row r="9" spans="1:10" ht="23.25">
      <c r="A9" s="15">
        <v>3</v>
      </c>
      <c r="B9" s="16" t="s">
        <v>30</v>
      </c>
      <c r="C9" s="76">
        <v>42</v>
      </c>
      <c r="D9" s="77">
        <v>12371.62713</v>
      </c>
      <c r="E9" s="73">
        <v>14.027235066488092</v>
      </c>
      <c r="F9" s="76">
        <v>40</v>
      </c>
      <c r="G9" s="138">
        <v>12204.41774</v>
      </c>
      <c r="H9" s="73">
        <v>14.21564160862174</v>
      </c>
      <c r="I9" s="74">
        <v>167.20938999999998</v>
      </c>
      <c r="J9" s="78">
        <v>1.370072653707771</v>
      </c>
    </row>
    <row r="10" spans="1:10" ht="23.25">
      <c r="A10" s="15">
        <v>4</v>
      </c>
      <c r="B10" s="16" t="s">
        <v>76</v>
      </c>
      <c r="C10" s="71">
        <v>2</v>
      </c>
      <c r="D10" s="72">
        <v>6063.09109185</v>
      </c>
      <c r="E10" s="73">
        <v>6.874471973753211</v>
      </c>
      <c r="F10" s="76">
        <v>2</v>
      </c>
      <c r="G10" s="138">
        <v>5995.002905220001</v>
      </c>
      <c r="H10" s="73">
        <v>6.98294786026012</v>
      </c>
      <c r="I10" s="74">
        <v>68.08818662999965</v>
      </c>
      <c r="J10" s="78">
        <v>1.135749018081602</v>
      </c>
    </row>
    <row r="11" spans="1:10" ht="23.25">
      <c r="A11" s="15">
        <v>5</v>
      </c>
      <c r="B11" s="16" t="s">
        <v>38</v>
      </c>
      <c r="C11" s="76">
        <v>779</v>
      </c>
      <c r="D11" s="77">
        <v>4271.59185317</v>
      </c>
      <c r="E11" s="73">
        <v>4.843228978928261</v>
      </c>
      <c r="F11" s="76">
        <v>782</v>
      </c>
      <c r="G11" s="138">
        <v>4245.74744526</v>
      </c>
      <c r="H11" s="73">
        <v>4.945424298671827</v>
      </c>
      <c r="I11" s="74">
        <v>25.844407909999973</v>
      </c>
      <c r="J11" s="78">
        <v>0.6087127942302117</v>
      </c>
    </row>
    <row r="12" spans="1:10" ht="23.25">
      <c r="A12" s="15">
        <v>6</v>
      </c>
      <c r="B12" s="16" t="s">
        <v>24</v>
      </c>
      <c r="C12" s="71">
        <v>22</v>
      </c>
      <c r="D12" s="72">
        <v>3956.66253504</v>
      </c>
      <c r="E12" s="73">
        <v>4.486154882827668</v>
      </c>
      <c r="F12" s="76">
        <v>22</v>
      </c>
      <c r="G12" s="138">
        <v>3915.1114036500003</v>
      </c>
      <c r="H12" s="73">
        <v>4.56030117599993</v>
      </c>
      <c r="I12" s="74">
        <v>41.55113138999968</v>
      </c>
      <c r="J12" s="78">
        <v>1.061301380881836</v>
      </c>
    </row>
    <row r="13" spans="1:10" ht="23.25">
      <c r="A13" s="15">
        <v>7</v>
      </c>
      <c r="B13" s="23" t="s">
        <v>26</v>
      </c>
      <c r="C13" s="79">
        <v>5</v>
      </c>
      <c r="D13" s="80">
        <v>2763.22163</v>
      </c>
      <c r="E13" s="73">
        <v>3.1330041665113115</v>
      </c>
      <c r="F13" s="76">
        <v>4</v>
      </c>
      <c r="G13" s="138">
        <v>2215.01615</v>
      </c>
      <c r="H13" s="73">
        <v>2.580039164220638</v>
      </c>
      <c r="I13" s="74">
        <v>548.2054800000001</v>
      </c>
      <c r="J13" s="78">
        <v>24.749502616493345</v>
      </c>
    </row>
    <row r="14" spans="1:10" ht="23.25">
      <c r="A14" s="15">
        <v>8</v>
      </c>
      <c r="B14" s="23" t="s">
        <v>29</v>
      </c>
      <c r="C14" s="79">
        <v>23</v>
      </c>
      <c r="D14" s="80">
        <v>2589.85484361</v>
      </c>
      <c r="E14" s="73">
        <v>2.9364369211635157</v>
      </c>
      <c r="F14" s="76">
        <v>21</v>
      </c>
      <c r="G14" s="138">
        <v>2027.9213959</v>
      </c>
      <c r="H14" s="73">
        <v>2.362112178452056</v>
      </c>
      <c r="I14" s="74">
        <v>561.9334477099999</v>
      </c>
      <c r="J14" s="78">
        <v>27.709823903732296</v>
      </c>
    </row>
    <row r="15" spans="1:10" ht="23.25">
      <c r="A15" s="15">
        <v>9</v>
      </c>
      <c r="B15" s="16" t="s">
        <v>15</v>
      </c>
      <c r="C15" s="71">
        <v>267</v>
      </c>
      <c r="D15" s="72">
        <v>1372.37944</v>
      </c>
      <c r="E15" s="73">
        <v>1.5560353381985</v>
      </c>
      <c r="F15" s="76">
        <v>267</v>
      </c>
      <c r="G15" s="138">
        <v>1344.4774499999999</v>
      </c>
      <c r="H15" s="73">
        <v>1.566040264045702</v>
      </c>
      <c r="I15" s="74">
        <v>27.90199000000007</v>
      </c>
      <c r="J15" s="78">
        <v>2.0753036802513924</v>
      </c>
    </row>
    <row r="16" spans="1:10" ht="23.25">
      <c r="A16" s="15">
        <v>10</v>
      </c>
      <c r="B16" s="16" t="s">
        <v>13</v>
      </c>
      <c r="C16" s="71">
        <v>18</v>
      </c>
      <c r="D16" s="72">
        <v>1067.12373</v>
      </c>
      <c r="E16" s="73">
        <v>1.2099294012377473</v>
      </c>
      <c r="F16" s="76">
        <v>18</v>
      </c>
      <c r="G16" s="138">
        <v>1076.25008</v>
      </c>
      <c r="H16" s="73">
        <v>1.2536104338993623</v>
      </c>
      <c r="I16" s="74">
        <v>-9.126350000000002</v>
      </c>
      <c r="J16" s="78">
        <v>-0.8479767081643332</v>
      </c>
    </row>
    <row r="17" spans="1:10" ht="23.25">
      <c r="A17" s="15">
        <v>11</v>
      </c>
      <c r="B17" s="16" t="s">
        <v>19</v>
      </c>
      <c r="C17" s="79">
        <v>1</v>
      </c>
      <c r="D17" s="80">
        <v>1040.74343</v>
      </c>
      <c r="E17" s="73">
        <v>1.1800188110351733</v>
      </c>
      <c r="F17" s="76">
        <v>1</v>
      </c>
      <c r="G17" s="138">
        <v>1010.42095</v>
      </c>
      <c r="H17" s="73">
        <v>1.1769330094270523</v>
      </c>
      <c r="I17" s="74">
        <v>30.32248000000004</v>
      </c>
      <c r="J17" s="78">
        <v>3.000974989681285</v>
      </c>
    </row>
    <row r="18" spans="1:10" ht="23.25">
      <c r="A18" s="15">
        <v>12</v>
      </c>
      <c r="B18" s="16" t="s">
        <v>20</v>
      </c>
      <c r="C18" s="71">
        <v>3</v>
      </c>
      <c r="D18" s="83">
        <v>953.46065</v>
      </c>
      <c r="E18" s="73">
        <v>1.0810555898314183</v>
      </c>
      <c r="F18" s="76">
        <v>3</v>
      </c>
      <c r="G18" s="138">
        <v>847.75588</v>
      </c>
      <c r="H18" s="73">
        <v>0.9874615912386607</v>
      </c>
      <c r="I18" s="74">
        <v>105.70476999999994</v>
      </c>
      <c r="J18" s="78">
        <v>12.468774619410476</v>
      </c>
    </row>
    <row r="19" spans="1:10" ht="23.25">
      <c r="A19" s="15">
        <v>13</v>
      </c>
      <c r="B19" s="16" t="s">
        <v>28</v>
      </c>
      <c r="C19" s="71">
        <v>2</v>
      </c>
      <c r="D19" s="83">
        <v>499.43935869</v>
      </c>
      <c r="E19" s="73">
        <v>0.5662758190321155</v>
      </c>
      <c r="F19" s="76">
        <v>2</v>
      </c>
      <c r="G19" s="138">
        <v>491.39502348</v>
      </c>
      <c r="H19" s="73">
        <v>0.5723743394293175</v>
      </c>
      <c r="I19" s="74">
        <v>8.044335209999986</v>
      </c>
      <c r="J19" s="78">
        <v>1.6370404309410742</v>
      </c>
    </row>
    <row r="20" spans="1:10" ht="23.25">
      <c r="A20" s="15">
        <v>14</v>
      </c>
      <c r="B20" s="16" t="s">
        <v>25</v>
      </c>
      <c r="C20" s="76">
        <v>61</v>
      </c>
      <c r="D20" s="84">
        <v>872.49222</v>
      </c>
      <c r="E20" s="73">
        <v>0.9892517237239141</v>
      </c>
      <c r="F20" s="76">
        <v>60</v>
      </c>
      <c r="G20" s="138">
        <v>756.1878399999999</v>
      </c>
      <c r="H20" s="73">
        <v>0.88080361974219</v>
      </c>
      <c r="I20" s="74">
        <v>116.30438000000004</v>
      </c>
      <c r="J20" s="78">
        <v>15.380355759225123</v>
      </c>
    </row>
    <row r="21" spans="1:10" ht="23.25">
      <c r="A21" s="139">
        <v>15</v>
      </c>
      <c r="B21" s="16" t="s">
        <v>77</v>
      </c>
      <c r="C21" s="71">
        <v>6</v>
      </c>
      <c r="D21" s="83">
        <v>104.33480546999999</v>
      </c>
      <c r="E21" s="73">
        <v>0.11829719943588352</v>
      </c>
      <c r="F21" s="76">
        <v>0</v>
      </c>
      <c r="G21" s="138">
        <v>0</v>
      </c>
      <c r="H21" s="73">
        <v>0</v>
      </c>
      <c r="I21" s="74">
        <v>104.33480546999999</v>
      </c>
      <c r="J21" s="141" t="s">
        <v>78</v>
      </c>
    </row>
    <row r="22" spans="1:10" ht="23.25">
      <c r="A22" s="15">
        <v>16</v>
      </c>
      <c r="B22" s="16" t="s">
        <v>69</v>
      </c>
      <c r="C22" s="76">
        <v>7</v>
      </c>
      <c r="D22" s="84">
        <v>93.06102</v>
      </c>
      <c r="E22" s="73">
        <v>0.10551472246538272</v>
      </c>
      <c r="F22" s="76">
        <v>6</v>
      </c>
      <c r="G22" s="138">
        <v>188.59306</v>
      </c>
      <c r="H22" s="73">
        <v>0.21967220460230624</v>
      </c>
      <c r="I22" s="74">
        <v>-95.53204000000001</v>
      </c>
      <c r="J22" s="78">
        <v>-50.65511954681684</v>
      </c>
    </row>
    <row r="23" spans="1:10" ht="23.25">
      <c r="A23" s="15">
        <v>17</v>
      </c>
      <c r="B23" s="23" t="s">
        <v>42</v>
      </c>
      <c r="C23" s="71">
        <v>3</v>
      </c>
      <c r="D23" s="83">
        <v>66.85095</v>
      </c>
      <c r="E23" s="73">
        <v>0.0757971429476829</v>
      </c>
      <c r="F23" s="76">
        <v>3</v>
      </c>
      <c r="G23" s="138">
        <v>66.51068</v>
      </c>
      <c r="H23" s="73">
        <v>0.07747129032849097</v>
      </c>
      <c r="I23" s="74">
        <v>0.34027000000000385</v>
      </c>
      <c r="J23" s="78">
        <v>0.5116020464683324</v>
      </c>
    </row>
    <row r="24" spans="1:10" ht="23.25">
      <c r="A24" s="15">
        <v>18</v>
      </c>
      <c r="B24" s="16" t="s">
        <v>59</v>
      </c>
      <c r="C24" s="71">
        <v>2</v>
      </c>
      <c r="D24" s="83">
        <v>14.96008</v>
      </c>
      <c r="E24" s="73">
        <v>0.01696208239776356</v>
      </c>
      <c r="F24" s="76">
        <v>2</v>
      </c>
      <c r="G24" s="138">
        <v>14.38836</v>
      </c>
      <c r="H24" s="73">
        <v>0.016759486069167332</v>
      </c>
      <c r="I24" s="74">
        <v>0.5717199999999991</v>
      </c>
      <c r="J24" s="78">
        <v>3.9734896819373375</v>
      </c>
    </row>
    <row r="25" spans="1:10" ht="24" thickBot="1">
      <c r="A25" s="28">
        <v>19</v>
      </c>
      <c r="B25" s="16" t="s">
        <v>60</v>
      </c>
      <c r="C25" s="79"/>
      <c r="D25" s="85"/>
      <c r="E25" s="73">
        <v>0</v>
      </c>
      <c r="F25" s="76">
        <v>0</v>
      </c>
      <c r="G25" s="76">
        <v>0</v>
      </c>
      <c r="H25" s="130">
        <v>0</v>
      </c>
      <c r="I25" s="74">
        <v>0</v>
      </c>
      <c r="J25" s="125">
        <v>0</v>
      </c>
    </row>
    <row r="26" spans="1:11" ht="24" thickBot="1">
      <c r="A26" s="47" t="s">
        <v>31</v>
      </c>
      <c r="B26" s="48"/>
      <c r="C26" s="86">
        <f aca="true" t="shared" si="0" ref="C26:I26">SUM(C7:C25)</f>
        <v>1429</v>
      </c>
      <c r="D26" s="87">
        <f t="shared" si="0"/>
        <v>88197.18976234</v>
      </c>
      <c r="E26" s="88">
        <f t="shared" si="0"/>
        <v>100.00000000000001</v>
      </c>
      <c r="F26" s="86">
        <f t="shared" si="0"/>
        <v>1417</v>
      </c>
      <c r="G26" s="87">
        <f t="shared" si="0"/>
        <v>85852.03591935</v>
      </c>
      <c r="H26" s="88">
        <f t="shared" si="0"/>
        <v>99.99999999999999</v>
      </c>
      <c r="I26" s="89">
        <f t="shared" si="0"/>
        <v>2345.1538429900015</v>
      </c>
      <c r="J26" s="89">
        <f>(D26-G26)/G26*100</f>
        <v>2.7316228647076572</v>
      </c>
      <c r="K26" s="31"/>
    </row>
    <row r="27" spans="1:11" ht="5.25" customHeight="1">
      <c r="A27" s="36"/>
      <c r="B27" s="37"/>
      <c r="C27" s="95"/>
      <c r="D27" s="96"/>
      <c r="E27" s="40"/>
      <c r="F27" s="95"/>
      <c r="G27" s="96"/>
      <c r="H27" s="40"/>
      <c r="I27" s="97"/>
      <c r="J27" s="42"/>
      <c r="K27" s="31"/>
    </row>
    <row r="28" spans="2:10" ht="21">
      <c r="B28" s="43" t="s">
        <v>32</v>
      </c>
      <c r="H28" s="44" t="s">
        <v>33</v>
      </c>
      <c r="J28" s="45"/>
    </row>
    <row r="29" spans="2:10" ht="21">
      <c r="B29" s="46" t="s">
        <v>79</v>
      </c>
      <c r="H29" s="44" t="s">
        <v>35</v>
      </c>
      <c r="J29" s="45"/>
    </row>
  </sheetData>
  <sheetProtection/>
  <mergeCells count="6">
    <mergeCell ref="A1:J1"/>
    <mergeCell ref="A2:J2"/>
    <mergeCell ref="C4:E4"/>
    <mergeCell ref="F4:H4"/>
    <mergeCell ref="I4:J4"/>
    <mergeCell ref="A26:B26"/>
  </mergeCells>
  <printOptions horizontalCentered="1"/>
  <pageMargins left="0.31496062992125984" right="0.4330708661417323" top="0.15748031496062992" bottom="0.15748031496062992" header="0.3937007874015748" footer="0.15748031496062992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10">
      <selection activeCell="O19" sqref="O19"/>
    </sheetView>
  </sheetViews>
  <sheetFormatPr defaultColWidth="9.140625" defaultRowHeight="21.75"/>
  <cols>
    <col min="1" max="1" width="6.57421875" style="1" customWidth="1"/>
    <col min="2" max="2" width="53.421875" style="46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1" width="9.140625" style="142" customWidth="1"/>
    <col min="12" max="16384" width="9.140625" style="1" customWidth="1"/>
  </cols>
  <sheetData>
    <row r="1" spans="1:10" ht="23.25">
      <c r="A1" s="9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3.25">
      <c r="A2" s="90" t="s">
        <v>80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5.25" customHeight="1" thickBot="1">
      <c r="A3" s="2"/>
      <c r="B3" s="91"/>
      <c r="C3" s="3"/>
      <c r="D3" s="2"/>
      <c r="E3" s="2"/>
      <c r="F3" s="3"/>
      <c r="G3" s="3"/>
      <c r="H3" s="3"/>
      <c r="I3" s="2"/>
      <c r="J3" s="2"/>
    </row>
    <row r="4" spans="1:10" ht="22.5" customHeight="1" thickBot="1">
      <c r="A4" s="4"/>
      <c r="B4" s="92"/>
      <c r="C4" s="53" t="s">
        <v>81</v>
      </c>
      <c r="D4" s="51"/>
      <c r="E4" s="52"/>
      <c r="F4" s="53" t="s">
        <v>75</v>
      </c>
      <c r="G4" s="51"/>
      <c r="H4" s="52"/>
      <c r="I4" s="54" t="s">
        <v>4</v>
      </c>
      <c r="J4" s="52"/>
    </row>
    <row r="5" spans="1:10" ht="23.25">
      <c r="A5" s="5" t="s">
        <v>5</v>
      </c>
      <c r="B5" s="93" t="s">
        <v>6</v>
      </c>
      <c r="C5" s="6" t="s">
        <v>7</v>
      </c>
      <c r="D5" s="7" t="s">
        <v>8</v>
      </c>
      <c r="E5" s="8" t="s">
        <v>9</v>
      </c>
      <c r="F5" s="6" t="s">
        <v>7</v>
      </c>
      <c r="G5" s="7" t="s">
        <v>8</v>
      </c>
      <c r="H5" s="8" t="s">
        <v>9</v>
      </c>
      <c r="I5" s="9" t="s">
        <v>8</v>
      </c>
      <c r="J5" s="8" t="s">
        <v>10</v>
      </c>
    </row>
    <row r="6" spans="1:10" ht="24" thickBot="1">
      <c r="A6" s="10"/>
      <c r="B6" s="94"/>
      <c r="C6" s="11" t="s">
        <v>11</v>
      </c>
      <c r="D6" s="12" t="s">
        <v>12</v>
      </c>
      <c r="E6" s="13"/>
      <c r="F6" s="11" t="s">
        <v>11</v>
      </c>
      <c r="G6" s="12" t="s">
        <v>12</v>
      </c>
      <c r="H6" s="13"/>
      <c r="I6" s="14" t="s">
        <v>12</v>
      </c>
      <c r="J6" s="13"/>
    </row>
    <row r="7" spans="1:10" ht="23.25">
      <c r="A7" s="15">
        <v>1</v>
      </c>
      <c r="B7" s="16" t="s">
        <v>22</v>
      </c>
      <c r="C7" s="76">
        <v>153</v>
      </c>
      <c r="D7" s="77">
        <f>37712416.06/1000</f>
        <v>37712.41606</v>
      </c>
      <c r="E7" s="73">
        <f aca="true" t="shared" si="0" ref="E7:E25">(D7/$D$26)*100</f>
        <v>42.36541540797803</v>
      </c>
      <c r="F7" s="76">
        <f>'[1]พ.ย.'!C7</f>
        <v>154</v>
      </c>
      <c r="G7" s="138">
        <f>'[1]พ.ย.'!D7</f>
        <v>37582.904200000004</v>
      </c>
      <c r="H7" s="129">
        <f aca="true" t="shared" si="1" ref="H7:H25">(G7/$G$26)*100</f>
        <v>42.612360213826015</v>
      </c>
      <c r="I7" s="74">
        <f aca="true" t="shared" si="2" ref="I7:I25">(D7-G7)</f>
        <v>129.5118599999987</v>
      </c>
      <c r="J7" s="122">
        <f aca="true" t="shared" si="3" ref="J7:J24">(D7-G7)/G7*100</f>
        <v>0.34460311877653854</v>
      </c>
    </row>
    <row r="8" spans="1:10" ht="23.25">
      <c r="A8" s="15">
        <v>2</v>
      </c>
      <c r="B8" s="16" t="s">
        <v>14</v>
      </c>
      <c r="C8" s="76">
        <v>32</v>
      </c>
      <c r="D8" s="77">
        <f>12546056393.02/1000000</f>
        <v>12546.05639302</v>
      </c>
      <c r="E8" s="73">
        <f t="shared" si="0"/>
        <v>14.094002621751164</v>
      </c>
      <c r="F8" s="76">
        <f>'[1]พ.ย.'!C8</f>
        <v>32</v>
      </c>
      <c r="G8" s="138">
        <f>'[1]พ.ย.'!D8</f>
        <v>12513.39079451</v>
      </c>
      <c r="H8" s="73">
        <f t="shared" si="1"/>
        <v>14.187969966196349</v>
      </c>
      <c r="I8" s="74">
        <f t="shared" si="2"/>
        <v>32.665598510000564</v>
      </c>
      <c r="J8" s="78">
        <f t="shared" si="3"/>
        <v>0.2610451399338694</v>
      </c>
    </row>
    <row r="9" spans="1:10" ht="23.25">
      <c r="A9" s="15">
        <v>3</v>
      </c>
      <c r="B9" s="16" t="s">
        <v>30</v>
      </c>
      <c r="C9" s="76">
        <v>41</v>
      </c>
      <c r="D9" s="77">
        <f>12360755838.71/1000000</f>
        <v>12360.75583871</v>
      </c>
      <c r="E9" s="73">
        <f t="shared" si="0"/>
        <v>13.885839481363076</v>
      </c>
      <c r="F9" s="76">
        <f>'[1]พ.ย.'!C9</f>
        <v>42</v>
      </c>
      <c r="G9" s="138">
        <f>'[1]พ.ย.'!D9</f>
        <v>12371.62713</v>
      </c>
      <c r="H9" s="73">
        <f t="shared" si="1"/>
        <v>14.027235066488092</v>
      </c>
      <c r="I9" s="74">
        <f t="shared" si="2"/>
        <v>-10.871291290000954</v>
      </c>
      <c r="J9" s="78">
        <f t="shared" si="3"/>
        <v>-0.08787276868084007</v>
      </c>
    </row>
    <row r="10" spans="1:10" ht="23.25">
      <c r="A10" s="15">
        <v>4</v>
      </c>
      <c r="B10" s="16" t="s">
        <v>76</v>
      </c>
      <c r="C10" s="71">
        <v>2</v>
      </c>
      <c r="D10" s="72">
        <f>6081956865.14/1000000</f>
        <v>6081.95686514</v>
      </c>
      <c r="E10" s="73">
        <f t="shared" si="0"/>
        <v>6.83235538861044</v>
      </c>
      <c r="F10" s="76">
        <f>'[1]พ.ย.'!C10</f>
        <v>2</v>
      </c>
      <c r="G10" s="138">
        <f>'[1]พ.ย.'!D10</f>
        <v>6063.09109185</v>
      </c>
      <c r="H10" s="73">
        <f t="shared" si="1"/>
        <v>6.874471973753211</v>
      </c>
      <c r="I10" s="74">
        <f t="shared" si="2"/>
        <v>18.865773290000106</v>
      </c>
      <c r="J10" s="78">
        <f t="shared" si="3"/>
        <v>0.3111576752551097</v>
      </c>
    </row>
    <row r="11" spans="1:10" ht="23.25">
      <c r="A11" s="15">
        <v>5</v>
      </c>
      <c r="B11" s="16" t="s">
        <v>38</v>
      </c>
      <c r="C11" s="76">
        <v>779</v>
      </c>
      <c r="D11" s="77">
        <f>4235979094.23/1000000</f>
        <v>4235.97909423</v>
      </c>
      <c r="E11" s="73">
        <f t="shared" si="0"/>
        <v>4.758618851177482</v>
      </c>
      <c r="F11" s="76">
        <f>'[1]พ.ย.'!C11</f>
        <v>779</v>
      </c>
      <c r="G11" s="138">
        <f>'[1]พ.ย.'!D11</f>
        <v>4271.59185317</v>
      </c>
      <c r="H11" s="73">
        <f t="shared" si="1"/>
        <v>4.843228978928261</v>
      </c>
      <c r="I11" s="74">
        <f t="shared" si="2"/>
        <v>-35.612758940000276</v>
      </c>
      <c r="J11" s="78">
        <f t="shared" si="3"/>
        <v>-0.8337116504605095</v>
      </c>
    </row>
    <row r="12" spans="1:10" ht="23.25">
      <c r="A12" s="15">
        <v>6</v>
      </c>
      <c r="B12" s="16" t="s">
        <v>24</v>
      </c>
      <c r="C12" s="71">
        <v>24</v>
      </c>
      <c r="D12" s="72">
        <f>4005560842.15/1000000</f>
        <v>4005.56084215</v>
      </c>
      <c r="E12" s="73">
        <f t="shared" si="0"/>
        <v>4.499771341873954</v>
      </c>
      <c r="F12" s="76">
        <f>'[1]พ.ย.'!C12</f>
        <v>22</v>
      </c>
      <c r="G12" s="138">
        <f>'[1]พ.ย.'!D12</f>
        <v>3956.66253504</v>
      </c>
      <c r="H12" s="73">
        <f t="shared" si="1"/>
        <v>4.486154882827668</v>
      </c>
      <c r="I12" s="74">
        <f t="shared" si="2"/>
        <v>48.89830711000013</v>
      </c>
      <c r="J12" s="78">
        <f t="shared" si="3"/>
        <v>1.2358473000150818</v>
      </c>
    </row>
    <row r="13" spans="1:10" ht="23.25">
      <c r="A13" s="15">
        <v>7</v>
      </c>
      <c r="B13" s="23" t="s">
        <v>26</v>
      </c>
      <c r="C13" s="79">
        <v>5</v>
      </c>
      <c r="D13" s="80">
        <f>3016494.02/1000</f>
        <v>3016.49402</v>
      </c>
      <c r="E13" s="73">
        <f t="shared" si="0"/>
        <v>3.388672367998413</v>
      </c>
      <c r="F13" s="76">
        <f>'[1]พ.ย.'!C13</f>
        <v>5</v>
      </c>
      <c r="G13" s="138">
        <f>'[1]พ.ย.'!D13</f>
        <v>2763.22163</v>
      </c>
      <c r="H13" s="73">
        <f t="shared" si="1"/>
        <v>3.1330041665113115</v>
      </c>
      <c r="I13" s="74">
        <f t="shared" si="2"/>
        <v>253.2723900000001</v>
      </c>
      <c r="J13" s="78">
        <f t="shared" si="3"/>
        <v>9.165836979931287</v>
      </c>
    </row>
    <row r="14" spans="1:10" ht="23.25">
      <c r="A14" s="15">
        <v>8</v>
      </c>
      <c r="B14" s="23" t="s">
        <v>29</v>
      </c>
      <c r="C14" s="79">
        <v>23</v>
      </c>
      <c r="D14" s="80">
        <f>2697734015.3/1000000</f>
        <v>2697.7340153</v>
      </c>
      <c r="E14" s="73">
        <f t="shared" si="0"/>
        <v>3.030583403529014</v>
      </c>
      <c r="F14" s="76">
        <f>'[1]พ.ย.'!C14</f>
        <v>23</v>
      </c>
      <c r="G14" s="138">
        <f>'[1]พ.ย.'!D14</f>
        <v>2589.85484361</v>
      </c>
      <c r="H14" s="73">
        <f t="shared" si="1"/>
        <v>2.9364369211635157</v>
      </c>
      <c r="I14" s="74">
        <f t="shared" si="2"/>
        <v>107.87917169000002</v>
      </c>
      <c r="J14" s="78">
        <f t="shared" si="3"/>
        <v>4.165452436694374</v>
      </c>
    </row>
    <row r="15" spans="1:10" ht="23.25">
      <c r="A15" s="15">
        <v>9</v>
      </c>
      <c r="B15" s="16" t="s">
        <v>15</v>
      </c>
      <c r="C15" s="71">
        <v>266</v>
      </c>
      <c r="D15" s="72">
        <f>1293545.42/1000</f>
        <v>1293.54542</v>
      </c>
      <c r="E15" s="73">
        <f t="shared" si="0"/>
        <v>1.4531444758192826</v>
      </c>
      <c r="F15" s="76">
        <f>'[1]พ.ย.'!C15</f>
        <v>267</v>
      </c>
      <c r="G15" s="138">
        <f>'[1]พ.ย.'!D15</f>
        <v>1372.37944</v>
      </c>
      <c r="H15" s="73">
        <f t="shared" si="1"/>
        <v>1.5560353381985</v>
      </c>
      <c r="I15" s="74">
        <f t="shared" si="2"/>
        <v>-78.83402000000001</v>
      </c>
      <c r="J15" s="78">
        <f t="shared" si="3"/>
        <v>-5.744331174183141</v>
      </c>
    </row>
    <row r="16" spans="1:10" ht="23.25">
      <c r="A16" s="15">
        <v>10</v>
      </c>
      <c r="B16" s="16" t="s">
        <v>19</v>
      </c>
      <c r="C16" s="71">
        <v>1</v>
      </c>
      <c r="D16" s="72">
        <f>1242305.04/1000</f>
        <v>1242.30504</v>
      </c>
      <c r="E16" s="73">
        <f t="shared" si="0"/>
        <v>1.3955820014100884</v>
      </c>
      <c r="F16" s="76">
        <f>'[1]พ.ย.'!C17</f>
        <v>1</v>
      </c>
      <c r="G16" s="138">
        <f>'[1]พ.ย.'!D17</f>
        <v>1040.74343</v>
      </c>
      <c r="H16" s="73">
        <f t="shared" si="1"/>
        <v>1.1800188110351733</v>
      </c>
      <c r="I16" s="74">
        <f t="shared" si="2"/>
        <v>201.56160999999997</v>
      </c>
      <c r="J16" s="78">
        <f t="shared" si="3"/>
        <v>19.3670797422185</v>
      </c>
    </row>
    <row r="17" spans="1:10" ht="23.25">
      <c r="A17" s="15">
        <v>11</v>
      </c>
      <c r="B17" s="16" t="s">
        <v>13</v>
      </c>
      <c r="C17" s="79">
        <v>18</v>
      </c>
      <c r="D17" s="80">
        <f>1068962.41/1000</f>
        <v>1068.9624099999999</v>
      </c>
      <c r="E17" s="73">
        <f t="shared" si="0"/>
        <v>1.2008521671778385</v>
      </c>
      <c r="F17" s="76">
        <f>'[1]พ.ย.'!C16</f>
        <v>18</v>
      </c>
      <c r="G17" s="138">
        <f>'[1]พ.ย.'!D16</f>
        <v>1067.12373</v>
      </c>
      <c r="H17" s="73">
        <f t="shared" si="1"/>
        <v>1.2099294012377473</v>
      </c>
      <c r="I17" s="74">
        <f t="shared" si="2"/>
        <v>1.8386799999998402</v>
      </c>
      <c r="J17" s="78">
        <f t="shared" si="3"/>
        <v>0.1723024189519092</v>
      </c>
    </row>
    <row r="18" spans="1:10" ht="23.25">
      <c r="A18" s="15">
        <v>12</v>
      </c>
      <c r="B18" s="16" t="s">
        <v>20</v>
      </c>
      <c r="C18" s="71">
        <v>3</v>
      </c>
      <c r="D18" s="83">
        <f>951455.78/1000</f>
        <v>951.45578</v>
      </c>
      <c r="E18" s="73">
        <f t="shared" si="0"/>
        <v>1.0688474400020116</v>
      </c>
      <c r="F18" s="76">
        <f>'[1]พ.ย.'!C18</f>
        <v>3</v>
      </c>
      <c r="G18" s="138">
        <f>'[1]พ.ย.'!D18</f>
        <v>953.46065</v>
      </c>
      <c r="H18" s="73">
        <f t="shared" si="1"/>
        <v>1.0810555898314183</v>
      </c>
      <c r="I18" s="74">
        <f t="shared" si="2"/>
        <v>-2.0048699999999826</v>
      </c>
      <c r="J18" s="78">
        <f t="shared" si="3"/>
        <v>-0.21027296721684136</v>
      </c>
    </row>
    <row r="19" spans="1:10" ht="23.25">
      <c r="A19" s="15">
        <v>13</v>
      </c>
      <c r="B19" s="16" t="s">
        <v>25</v>
      </c>
      <c r="C19" s="71">
        <v>61</v>
      </c>
      <c r="D19" s="83">
        <f>870200.56/1000</f>
        <v>870.2005600000001</v>
      </c>
      <c r="E19" s="73">
        <f t="shared" si="0"/>
        <v>0.9775668616405032</v>
      </c>
      <c r="F19" s="76">
        <f>'[1]พ.ย.'!C20</f>
        <v>61</v>
      </c>
      <c r="G19" s="138">
        <f>'[1]พ.ย.'!D20</f>
        <v>872.49222</v>
      </c>
      <c r="H19" s="73">
        <f t="shared" si="1"/>
        <v>0.9892517237239141</v>
      </c>
      <c r="I19" s="74">
        <f t="shared" si="2"/>
        <v>-2.2916599999998652</v>
      </c>
      <c r="J19" s="78">
        <f t="shared" si="3"/>
        <v>-0.2626567833464309</v>
      </c>
    </row>
    <row r="20" spans="1:10" ht="23.25">
      <c r="A20" s="15">
        <v>14</v>
      </c>
      <c r="B20" s="16" t="s">
        <v>28</v>
      </c>
      <c r="C20" s="71">
        <v>2</v>
      </c>
      <c r="D20" s="83">
        <f>504117221.85/1000000</f>
        <v>504.11722185</v>
      </c>
      <c r="E20" s="73">
        <f t="shared" si="0"/>
        <v>0.5663157588209708</v>
      </c>
      <c r="F20" s="76">
        <f>'[1]พ.ย.'!C19</f>
        <v>2</v>
      </c>
      <c r="G20" s="138">
        <f>'[1]พ.ย.'!D19</f>
        <v>499.43935869</v>
      </c>
      <c r="H20" s="73">
        <f t="shared" si="1"/>
        <v>0.5662758190321155</v>
      </c>
      <c r="I20" s="74">
        <f t="shared" si="2"/>
        <v>4.677863160000015</v>
      </c>
      <c r="J20" s="78">
        <f t="shared" si="3"/>
        <v>0.9366228509242392</v>
      </c>
    </row>
    <row r="21" spans="1:10" ht="23.25">
      <c r="A21" s="15">
        <v>15</v>
      </c>
      <c r="B21" s="16" t="s">
        <v>77</v>
      </c>
      <c r="C21" s="71">
        <v>11</v>
      </c>
      <c r="D21" s="83">
        <f>256417241.22/1000000</f>
        <v>256.41724122</v>
      </c>
      <c r="E21" s="73">
        <f t="shared" si="0"/>
        <v>0.2880542823024054</v>
      </c>
      <c r="F21" s="76">
        <f>'[1]พ.ย.'!C21</f>
        <v>6</v>
      </c>
      <c r="G21" s="138">
        <f>'[1]พ.ย.'!D21</f>
        <v>104.33480546999999</v>
      </c>
      <c r="H21" s="73">
        <f t="shared" si="1"/>
        <v>0.11829719943588352</v>
      </c>
      <c r="I21" s="74">
        <f t="shared" si="2"/>
        <v>152.08243575</v>
      </c>
      <c r="J21" s="78">
        <f t="shared" si="3"/>
        <v>145.76385614072876</v>
      </c>
    </row>
    <row r="22" spans="1:10" ht="23.25">
      <c r="A22" s="139">
        <v>16</v>
      </c>
      <c r="B22" s="16" t="s">
        <v>69</v>
      </c>
      <c r="C22" s="71">
        <v>7</v>
      </c>
      <c r="D22" s="83">
        <f>92159.81/1000</f>
        <v>92.15981</v>
      </c>
      <c r="E22" s="73">
        <f t="shared" si="0"/>
        <v>0.1035305886623252</v>
      </c>
      <c r="F22" s="76">
        <f>'[1]พ.ย.'!C22</f>
        <v>7</v>
      </c>
      <c r="G22" s="138">
        <f>'[1]พ.ย.'!D22</f>
        <v>93.06102</v>
      </c>
      <c r="H22" s="73">
        <f t="shared" si="1"/>
        <v>0.10551472246538272</v>
      </c>
      <c r="I22" s="74">
        <f t="shared" si="2"/>
        <v>-0.9012100000000061</v>
      </c>
      <c r="J22" s="78">
        <f t="shared" si="3"/>
        <v>-0.9684076104044487</v>
      </c>
    </row>
    <row r="23" spans="1:10" ht="23.25">
      <c r="A23" s="15">
        <v>17</v>
      </c>
      <c r="B23" s="23" t="s">
        <v>42</v>
      </c>
      <c r="C23" s="76">
        <v>3</v>
      </c>
      <c r="D23" s="84">
        <f>67028.45/1000</f>
        <v>67.02844999999999</v>
      </c>
      <c r="E23" s="73">
        <f t="shared" si="0"/>
        <v>0.0752984938404629</v>
      </c>
      <c r="F23" s="76">
        <f>'[1]พ.ย.'!C23</f>
        <v>3</v>
      </c>
      <c r="G23" s="138">
        <f>'[1]พ.ย.'!D23</f>
        <v>66.85095</v>
      </c>
      <c r="H23" s="73">
        <f t="shared" si="1"/>
        <v>0.0757971429476829</v>
      </c>
      <c r="I23" s="74">
        <f t="shared" si="2"/>
        <v>0.17749999999999488</v>
      </c>
      <c r="J23" s="78">
        <f t="shared" si="3"/>
        <v>0.2655160472663364</v>
      </c>
    </row>
    <row r="24" spans="1:10" ht="23.25">
      <c r="A24" s="15">
        <v>18</v>
      </c>
      <c r="B24" s="16" t="s">
        <v>59</v>
      </c>
      <c r="C24" s="71">
        <v>2</v>
      </c>
      <c r="D24" s="83">
        <f>13841.31/1000</f>
        <v>13.84131</v>
      </c>
      <c r="E24" s="73">
        <f t="shared" si="0"/>
        <v>0.015549066042537724</v>
      </c>
      <c r="F24" s="76">
        <f>'[1]พ.ย.'!C24</f>
        <v>2</v>
      </c>
      <c r="G24" s="138">
        <f>'[1]พ.ย.'!D24</f>
        <v>14.96008</v>
      </c>
      <c r="H24" s="73">
        <f t="shared" si="1"/>
        <v>0.01696208239776356</v>
      </c>
      <c r="I24" s="74">
        <f t="shared" si="2"/>
        <v>-1.1187699999999996</v>
      </c>
      <c r="J24" s="78">
        <f t="shared" si="3"/>
        <v>-7.478369099630481</v>
      </c>
    </row>
    <row r="25" spans="1:10" ht="24" thickBot="1">
      <c r="A25" s="28">
        <v>19</v>
      </c>
      <c r="B25" s="16" t="s">
        <v>60</v>
      </c>
      <c r="C25" s="79"/>
      <c r="D25" s="85"/>
      <c r="E25" s="73">
        <f t="shared" si="0"/>
        <v>0</v>
      </c>
      <c r="F25" s="76">
        <f>'[1]พ.ย.'!C25</f>
        <v>0</v>
      </c>
      <c r="G25" s="76">
        <f>'[1]พ.ย.'!D25</f>
        <v>0</v>
      </c>
      <c r="H25" s="130">
        <f t="shared" si="1"/>
        <v>0</v>
      </c>
      <c r="I25" s="74">
        <f t="shared" si="2"/>
        <v>0</v>
      </c>
      <c r="J25" s="125">
        <v>0</v>
      </c>
    </row>
    <row r="26" spans="1:11" ht="24" thickBot="1">
      <c r="A26" s="47" t="s">
        <v>31</v>
      </c>
      <c r="B26" s="48"/>
      <c r="C26" s="86">
        <f aca="true" t="shared" si="4" ref="C26:I26">SUM(C7:C25)</f>
        <v>1433</v>
      </c>
      <c r="D26" s="87">
        <f t="shared" si="4"/>
        <v>89016.98637162</v>
      </c>
      <c r="E26" s="88">
        <f t="shared" si="4"/>
        <v>100.00000000000001</v>
      </c>
      <c r="F26" s="86">
        <f t="shared" si="4"/>
        <v>1429</v>
      </c>
      <c r="G26" s="87">
        <f t="shared" si="4"/>
        <v>88197.18976234</v>
      </c>
      <c r="H26" s="88">
        <f t="shared" si="4"/>
        <v>100.00000000000001</v>
      </c>
      <c r="I26" s="89">
        <f t="shared" si="4"/>
        <v>819.7966092799984</v>
      </c>
      <c r="J26" s="89">
        <f>(D26-G26)/G26*100</f>
        <v>0.9295042296575039</v>
      </c>
      <c r="K26" s="143"/>
    </row>
    <row r="27" spans="1:11" ht="5.25" customHeight="1">
      <c r="A27" s="36"/>
      <c r="B27" s="37"/>
      <c r="C27" s="95"/>
      <c r="D27" s="96"/>
      <c r="E27" s="40"/>
      <c r="F27" s="95"/>
      <c r="G27" s="96"/>
      <c r="H27" s="40"/>
      <c r="I27" s="97"/>
      <c r="J27" s="42"/>
      <c r="K27" s="143"/>
    </row>
    <row r="28" spans="2:10" ht="21">
      <c r="B28" s="43" t="s">
        <v>32</v>
      </c>
      <c r="H28" s="44" t="s">
        <v>33</v>
      </c>
      <c r="J28" s="45"/>
    </row>
    <row r="29" spans="2:10" ht="21">
      <c r="B29" s="46" t="s">
        <v>82</v>
      </c>
      <c r="H29" s="44" t="s">
        <v>35</v>
      </c>
      <c r="J29" s="45"/>
    </row>
  </sheetData>
  <sheetProtection/>
  <mergeCells count="6">
    <mergeCell ref="A1:J1"/>
    <mergeCell ref="A2:J2"/>
    <mergeCell ref="C4:E4"/>
    <mergeCell ref="F4:H4"/>
    <mergeCell ref="I4:J4"/>
    <mergeCell ref="A26:B26"/>
  </mergeCells>
  <printOptions/>
  <pageMargins left="0.7480314960629921" right="0.7480314960629921" top="0.17" bottom="0.15748031496062992" header="0.44" footer="0.5118110236220472"/>
  <pageSetup horizontalDpi="1200" verticalDpi="1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9" sqref="L9"/>
    </sheetView>
  </sheetViews>
  <sheetFormatPr defaultColWidth="9.140625" defaultRowHeight="21.75"/>
  <cols>
    <col min="1" max="1" width="5.8515625" style="1" customWidth="1"/>
    <col min="2" max="2" width="47.28125" style="1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.25" customHeight="1" thickBot="1">
      <c r="A3" s="2"/>
      <c r="B3" s="2"/>
      <c r="C3" s="3"/>
      <c r="D3" s="2"/>
      <c r="E3" s="2"/>
      <c r="F3" s="3"/>
      <c r="G3" s="3"/>
      <c r="H3" s="3"/>
      <c r="I3" s="2"/>
      <c r="J3" s="2"/>
    </row>
    <row r="4" spans="1:10" ht="22.5" customHeight="1" thickBot="1">
      <c r="A4" s="56"/>
      <c r="B4" s="56"/>
      <c r="C4" s="57" t="s">
        <v>37</v>
      </c>
      <c r="D4" s="58"/>
      <c r="E4" s="59"/>
      <c r="F4" s="57" t="s">
        <v>2</v>
      </c>
      <c r="G4" s="58"/>
      <c r="H4" s="59"/>
      <c r="I4" s="60" t="s">
        <v>4</v>
      </c>
      <c r="J4" s="59"/>
    </row>
    <row r="5" spans="1:10" ht="21">
      <c r="A5" s="61" t="s">
        <v>5</v>
      </c>
      <c r="B5" s="61" t="s">
        <v>6</v>
      </c>
      <c r="C5" s="62" t="s">
        <v>7</v>
      </c>
      <c r="D5" s="63" t="s">
        <v>8</v>
      </c>
      <c r="E5" s="64" t="s">
        <v>9</v>
      </c>
      <c r="F5" s="62" t="s">
        <v>7</v>
      </c>
      <c r="G5" s="63" t="s">
        <v>8</v>
      </c>
      <c r="H5" s="64" t="s">
        <v>9</v>
      </c>
      <c r="I5" s="65" t="s">
        <v>8</v>
      </c>
      <c r="J5" s="64" t="s">
        <v>10</v>
      </c>
    </row>
    <row r="6" spans="1:10" ht="21.75" thickBot="1">
      <c r="A6" s="66"/>
      <c r="B6" s="66"/>
      <c r="C6" s="67" t="s">
        <v>11</v>
      </c>
      <c r="D6" s="68" t="s">
        <v>12</v>
      </c>
      <c r="E6" s="69"/>
      <c r="F6" s="67" t="s">
        <v>11</v>
      </c>
      <c r="G6" s="68" t="s">
        <v>12</v>
      </c>
      <c r="H6" s="69"/>
      <c r="I6" s="70" t="s">
        <v>12</v>
      </c>
      <c r="J6" s="69"/>
    </row>
    <row r="7" spans="1:10" ht="21.75" customHeight="1">
      <c r="A7" s="15">
        <v>1</v>
      </c>
      <c r="B7" s="16" t="s">
        <v>22</v>
      </c>
      <c r="C7" s="71">
        <v>163</v>
      </c>
      <c r="D7" s="72">
        <v>32711.18</v>
      </c>
      <c r="E7" s="73">
        <f aca="true" t="shared" si="0" ref="E7:E24">(D7/$D$25)*100</f>
        <v>46.389381341703825</v>
      </c>
      <c r="F7" s="71">
        <v>163</v>
      </c>
      <c r="G7" s="72">
        <v>32232.61</v>
      </c>
      <c r="H7" s="73">
        <v>46.2568428895801</v>
      </c>
      <c r="I7" s="74">
        <f aca="true" t="shared" si="1" ref="I7:I24">(D7-G7)</f>
        <v>478.5699999999997</v>
      </c>
      <c r="J7" s="75">
        <f aca="true" t="shared" si="2" ref="J7:J23">(D7-G7)/G7*100</f>
        <v>1.484738592375857</v>
      </c>
    </row>
    <row r="8" spans="1:10" ht="21.75" customHeight="1">
      <c r="A8" s="15">
        <v>2</v>
      </c>
      <c r="B8" s="16" t="s">
        <v>14</v>
      </c>
      <c r="C8" s="76">
        <v>32</v>
      </c>
      <c r="D8" s="77">
        <v>11799.59</v>
      </c>
      <c r="E8" s="73">
        <f t="shared" si="0"/>
        <v>16.73359628682778</v>
      </c>
      <c r="F8" s="76">
        <v>32</v>
      </c>
      <c r="G8" s="77">
        <v>11754.68</v>
      </c>
      <c r="H8" s="73">
        <v>16.86907718541221</v>
      </c>
      <c r="I8" s="74">
        <f t="shared" si="1"/>
        <v>44.909999999999854</v>
      </c>
      <c r="J8" s="78">
        <f t="shared" si="2"/>
        <v>0.3820605920365323</v>
      </c>
    </row>
    <row r="9" spans="1:10" ht="21.75" customHeight="1">
      <c r="A9" s="15">
        <v>3</v>
      </c>
      <c r="B9" s="16" t="s">
        <v>30</v>
      </c>
      <c r="C9" s="71">
        <v>34</v>
      </c>
      <c r="D9" s="72">
        <v>6704.53</v>
      </c>
      <c r="E9" s="73">
        <f t="shared" si="0"/>
        <v>9.508033610737783</v>
      </c>
      <c r="F9" s="71">
        <v>31</v>
      </c>
      <c r="G9" s="72">
        <v>6669.22</v>
      </c>
      <c r="H9" s="73">
        <v>9.570961263640934</v>
      </c>
      <c r="I9" s="74">
        <f t="shared" si="1"/>
        <v>35.30999999999949</v>
      </c>
      <c r="J9" s="74">
        <f t="shared" si="2"/>
        <v>0.5294472217140758</v>
      </c>
    </row>
    <row r="10" spans="1:10" ht="21.75" customHeight="1">
      <c r="A10" s="15">
        <v>4</v>
      </c>
      <c r="B10" s="16" t="s">
        <v>21</v>
      </c>
      <c r="C10" s="71">
        <v>2</v>
      </c>
      <c r="D10" s="72">
        <v>5799.21</v>
      </c>
      <c r="E10" s="73">
        <f t="shared" si="0"/>
        <v>8.224153459784155</v>
      </c>
      <c r="F10" s="71">
        <v>2</v>
      </c>
      <c r="G10" s="72">
        <v>5799.9</v>
      </c>
      <c r="H10" s="73">
        <v>8.323404870883108</v>
      </c>
      <c r="I10" s="74">
        <f t="shared" si="1"/>
        <v>-0.6899999999995998</v>
      </c>
      <c r="J10" s="74">
        <f t="shared" si="2"/>
        <v>-0.011896756840628284</v>
      </c>
    </row>
    <row r="11" spans="1:10" ht="21.75" customHeight="1">
      <c r="A11" s="15">
        <v>5</v>
      </c>
      <c r="B11" s="16" t="s">
        <v>38</v>
      </c>
      <c r="C11" s="76">
        <v>795</v>
      </c>
      <c r="D11" s="77">
        <v>4045.71</v>
      </c>
      <c r="E11" s="73">
        <f t="shared" si="0"/>
        <v>5.737426286301644</v>
      </c>
      <c r="F11" s="76">
        <v>788</v>
      </c>
      <c r="G11" s="77">
        <v>3984.72</v>
      </c>
      <c r="H11" s="73">
        <v>5.718449948637967</v>
      </c>
      <c r="I11" s="74">
        <f t="shared" si="1"/>
        <v>60.99000000000024</v>
      </c>
      <c r="J11" s="74">
        <f t="shared" si="2"/>
        <v>1.5305968800819187</v>
      </c>
    </row>
    <row r="12" spans="1:10" ht="21.75" customHeight="1">
      <c r="A12" s="15">
        <v>6</v>
      </c>
      <c r="B12" s="16" t="s">
        <v>24</v>
      </c>
      <c r="C12" s="71">
        <v>17</v>
      </c>
      <c r="D12" s="72">
        <v>2638.2</v>
      </c>
      <c r="E12" s="73">
        <f t="shared" si="0"/>
        <v>3.7413650579307447</v>
      </c>
      <c r="F12" s="71">
        <v>17</v>
      </c>
      <c r="G12" s="72">
        <v>2622.81</v>
      </c>
      <c r="H12" s="73">
        <v>3.763980332316234</v>
      </c>
      <c r="I12" s="74">
        <f t="shared" si="1"/>
        <v>15.389999999999873</v>
      </c>
      <c r="J12" s="74">
        <f t="shared" si="2"/>
        <v>0.5867752524963635</v>
      </c>
    </row>
    <row r="13" spans="1:10" ht="21.75" customHeight="1">
      <c r="A13" s="15">
        <v>7</v>
      </c>
      <c r="B13" s="23" t="s">
        <v>29</v>
      </c>
      <c r="C13" s="79">
        <v>3</v>
      </c>
      <c r="D13" s="80">
        <v>1755.03</v>
      </c>
      <c r="E13" s="73">
        <f t="shared" si="0"/>
        <v>2.488896943984609</v>
      </c>
      <c r="F13" s="79">
        <v>3</v>
      </c>
      <c r="G13" s="80">
        <v>1740.14</v>
      </c>
      <c r="H13" s="73">
        <v>2.49726542733815</v>
      </c>
      <c r="I13" s="74">
        <f t="shared" si="1"/>
        <v>14.889999999999873</v>
      </c>
      <c r="J13" s="74">
        <f t="shared" si="2"/>
        <v>0.8556782787591729</v>
      </c>
    </row>
    <row r="14" spans="1:10" ht="21.75" customHeight="1">
      <c r="A14" s="15">
        <v>8</v>
      </c>
      <c r="B14" s="23" t="s">
        <v>15</v>
      </c>
      <c r="C14" s="81">
        <v>269</v>
      </c>
      <c r="D14" s="82">
        <v>1267.18</v>
      </c>
      <c r="E14" s="73">
        <f t="shared" si="0"/>
        <v>1.797052146959549</v>
      </c>
      <c r="F14" s="81">
        <v>270</v>
      </c>
      <c r="G14" s="82">
        <v>1287.75</v>
      </c>
      <c r="H14" s="73">
        <v>1.8480430046172736</v>
      </c>
      <c r="I14" s="74">
        <f t="shared" si="1"/>
        <v>-20.569999999999936</v>
      </c>
      <c r="J14" s="74">
        <f t="shared" si="2"/>
        <v>-1.5973597359735925</v>
      </c>
    </row>
    <row r="15" spans="1:10" ht="21.75" customHeight="1">
      <c r="A15" s="15">
        <v>9</v>
      </c>
      <c r="B15" s="16" t="s">
        <v>13</v>
      </c>
      <c r="C15" s="76">
        <v>15</v>
      </c>
      <c r="D15" s="77">
        <v>873.04</v>
      </c>
      <c r="E15" s="73">
        <f t="shared" si="0"/>
        <v>1.2381022478113326</v>
      </c>
      <c r="F15" s="76">
        <v>15</v>
      </c>
      <c r="G15" s="77">
        <v>873.29</v>
      </c>
      <c r="H15" s="73">
        <v>1.2532537181147105</v>
      </c>
      <c r="I15" s="74">
        <f t="shared" si="1"/>
        <v>-0.25</v>
      </c>
      <c r="J15" s="74">
        <f t="shared" si="2"/>
        <v>-0.028627374640726448</v>
      </c>
    </row>
    <row r="16" spans="1:10" ht="21.75" customHeight="1">
      <c r="A16" s="15">
        <v>10</v>
      </c>
      <c r="B16" s="16" t="s">
        <v>19</v>
      </c>
      <c r="C16" s="71">
        <v>1</v>
      </c>
      <c r="D16" s="72">
        <v>650.66</v>
      </c>
      <c r="E16" s="73">
        <f t="shared" si="0"/>
        <v>0.9227339051600404</v>
      </c>
      <c r="F16" s="71">
        <v>1</v>
      </c>
      <c r="G16" s="72">
        <v>577.78</v>
      </c>
      <c r="H16" s="73">
        <v>0.8291689281364925</v>
      </c>
      <c r="I16" s="74">
        <f t="shared" si="1"/>
        <v>72.88</v>
      </c>
      <c r="J16" s="74">
        <f t="shared" si="2"/>
        <v>12.613797639239849</v>
      </c>
    </row>
    <row r="17" spans="1:10" ht="21.75" customHeight="1">
      <c r="A17" s="15">
        <v>11</v>
      </c>
      <c r="B17" s="16" t="s">
        <v>20</v>
      </c>
      <c r="C17" s="79">
        <v>2</v>
      </c>
      <c r="D17" s="80">
        <v>618.58</v>
      </c>
      <c r="E17" s="73">
        <f t="shared" si="0"/>
        <v>0.877239632148738</v>
      </c>
      <c r="F17" s="79">
        <v>2</v>
      </c>
      <c r="G17" s="80">
        <v>619.19</v>
      </c>
      <c r="H17" s="73">
        <v>0.8885961933830088</v>
      </c>
      <c r="I17" s="74">
        <f t="shared" si="1"/>
        <v>-0.6100000000000136</v>
      </c>
      <c r="J17" s="74">
        <f t="shared" si="2"/>
        <v>-0.09851580290379586</v>
      </c>
    </row>
    <row r="18" spans="1:10" ht="21.75" customHeight="1">
      <c r="A18" s="15">
        <v>12</v>
      </c>
      <c r="B18" s="16" t="s">
        <v>26</v>
      </c>
      <c r="C18" s="71">
        <v>3</v>
      </c>
      <c r="D18" s="83">
        <v>590.56</v>
      </c>
      <c r="E18" s="73">
        <f t="shared" si="0"/>
        <v>0.8375030507965965</v>
      </c>
      <c r="F18" s="71">
        <v>2</v>
      </c>
      <c r="G18" s="83">
        <v>425.21</v>
      </c>
      <c r="H18" s="73">
        <v>0.6102165528971546</v>
      </c>
      <c r="I18" s="74">
        <f t="shared" si="1"/>
        <v>165.34999999999997</v>
      </c>
      <c r="J18" s="74">
        <f t="shared" si="2"/>
        <v>38.88666776416358</v>
      </c>
    </row>
    <row r="19" spans="1:10" ht="21.75" customHeight="1">
      <c r="A19" s="15">
        <v>13</v>
      </c>
      <c r="B19" s="16" t="s">
        <v>25</v>
      </c>
      <c r="C19" s="71">
        <v>53</v>
      </c>
      <c r="D19" s="83">
        <v>427.05</v>
      </c>
      <c r="E19" s="73">
        <f t="shared" si="0"/>
        <v>0.6056212372031403</v>
      </c>
      <c r="F19" s="71">
        <v>52</v>
      </c>
      <c r="G19" s="83">
        <v>423.95</v>
      </c>
      <c r="H19" s="73">
        <v>0.6084083337662536</v>
      </c>
      <c r="I19" s="74">
        <f t="shared" si="1"/>
        <v>3.1000000000000227</v>
      </c>
      <c r="J19" s="74">
        <f t="shared" si="2"/>
        <v>0.7312183040452938</v>
      </c>
    </row>
    <row r="20" spans="1:10" ht="21.75" customHeight="1">
      <c r="A20" s="15">
        <v>14</v>
      </c>
      <c r="B20" s="16" t="s">
        <v>28</v>
      </c>
      <c r="C20" s="71">
        <v>1</v>
      </c>
      <c r="D20" s="83">
        <v>394.3</v>
      </c>
      <c r="E20" s="73">
        <f t="shared" si="0"/>
        <v>0.5591768032530108</v>
      </c>
      <c r="F20" s="71">
        <v>1</v>
      </c>
      <c r="G20" s="83">
        <v>415.69</v>
      </c>
      <c r="H20" s="73">
        <v>0.5965544527970137</v>
      </c>
      <c r="I20" s="74">
        <f t="shared" si="1"/>
        <v>-21.389999999999986</v>
      </c>
      <c r="J20" s="74">
        <f t="shared" si="2"/>
        <v>-5.145661430392837</v>
      </c>
    </row>
    <row r="21" spans="1:10" ht="21.75" customHeight="1">
      <c r="A21" s="15">
        <v>15</v>
      </c>
      <c r="B21" s="16" t="s">
        <v>16</v>
      </c>
      <c r="C21" s="71">
        <v>5</v>
      </c>
      <c r="D21" s="83">
        <v>98.03</v>
      </c>
      <c r="E21" s="73">
        <f t="shared" si="0"/>
        <v>0.13902130870629634</v>
      </c>
      <c r="F21" s="71">
        <v>7</v>
      </c>
      <c r="G21" s="83">
        <v>113.84</v>
      </c>
      <c r="H21" s="73">
        <v>0.16337116338235716</v>
      </c>
      <c r="I21" s="74">
        <f t="shared" si="1"/>
        <v>-15.810000000000002</v>
      </c>
      <c r="J21" s="74">
        <f t="shared" si="2"/>
        <v>-13.887912860154605</v>
      </c>
    </row>
    <row r="22" spans="1:10" ht="21.75" customHeight="1">
      <c r="A22" s="15">
        <v>16</v>
      </c>
      <c r="B22" s="16" t="s">
        <v>27</v>
      </c>
      <c r="C22" s="76">
        <v>2</v>
      </c>
      <c r="D22" s="84">
        <v>75.88</v>
      </c>
      <c r="E22" s="73">
        <f t="shared" si="0"/>
        <v>0.10760927169880408</v>
      </c>
      <c r="F22" s="76">
        <v>2</v>
      </c>
      <c r="G22" s="84">
        <v>75.57</v>
      </c>
      <c r="H22" s="73">
        <v>0.10845009501761005</v>
      </c>
      <c r="I22" s="74">
        <f t="shared" si="1"/>
        <v>0.3100000000000023</v>
      </c>
      <c r="J22" s="74">
        <f t="shared" si="2"/>
        <v>0.4102156940584919</v>
      </c>
    </row>
    <row r="23" spans="1:10" ht="21.75" customHeight="1">
      <c r="A23" s="15">
        <v>17</v>
      </c>
      <c r="B23" s="16" t="s">
        <v>23</v>
      </c>
      <c r="C23" s="71">
        <v>3</v>
      </c>
      <c r="D23" s="83">
        <v>65.64</v>
      </c>
      <c r="E23" s="73">
        <f t="shared" si="0"/>
        <v>0.0930874089919544</v>
      </c>
      <c r="F23" s="71">
        <v>3</v>
      </c>
      <c r="G23" s="83">
        <v>65.47</v>
      </c>
      <c r="H23" s="73">
        <v>0.09395564007943535</v>
      </c>
      <c r="I23" s="74">
        <f t="shared" si="1"/>
        <v>0.1700000000000017</v>
      </c>
      <c r="J23" s="74">
        <f t="shared" si="2"/>
        <v>0.2596609133954509</v>
      </c>
    </row>
    <row r="24" spans="1:11" ht="21.75" customHeight="1" thickBot="1">
      <c r="A24" s="28">
        <v>18</v>
      </c>
      <c r="B24" s="29" t="s">
        <v>18</v>
      </c>
      <c r="C24" s="79"/>
      <c r="D24" s="85"/>
      <c r="E24" s="73">
        <f t="shared" si="0"/>
        <v>0</v>
      </c>
      <c r="F24" s="79"/>
      <c r="G24" s="85"/>
      <c r="H24" s="73">
        <v>0</v>
      </c>
      <c r="I24" s="74">
        <f t="shared" si="1"/>
        <v>0</v>
      </c>
      <c r="J24" s="74">
        <v>0</v>
      </c>
      <c r="K24" s="31"/>
    </row>
    <row r="25" spans="1:10" ht="24" thickBot="1">
      <c r="A25" s="47" t="s">
        <v>31</v>
      </c>
      <c r="B25" s="48"/>
      <c r="C25" s="86">
        <f aca="true" t="shared" si="3" ref="C25:I25">SUM(C7:C24)</f>
        <v>1400</v>
      </c>
      <c r="D25" s="87">
        <f t="shared" si="3"/>
        <v>70514.37</v>
      </c>
      <c r="E25" s="88">
        <f t="shared" si="3"/>
        <v>100</v>
      </c>
      <c r="F25" s="86">
        <f t="shared" si="3"/>
        <v>1391</v>
      </c>
      <c r="G25" s="87">
        <f t="shared" si="3"/>
        <v>69681.82</v>
      </c>
      <c r="H25" s="88">
        <f t="shared" si="3"/>
        <v>100</v>
      </c>
      <c r="I25" s="89">
        <f t="shared" si="3"/>
        <v>832.5499999999994</v>
      </c>
      <c r="J25" s="89">
        <f>(D25-G25)/G25*100</f>
        <v>1.1947879662155614</v>
      </c>
    </row>
    <row r="26" spans="2:10" ht="21">
      <c r="B26" s="43" t="s">
        <v>32</v>
      </c>
      <c r="H26" s="44" t="s">
        <v>33</v>
      </c>
      <c r="J26" s="45"/>
    </row>
    <row r="27" spans="2:10" ht="21">
      <c r="B27" s="46" t="s">
        <v>39</v>
      </c>
      <c r="H27" s="44" t="s">
        <v>35</v>
      </c>
      <c r="J27" s="45"/>
    </row>
  </sheetData>
  <sheetProtection/>
  <mergeCells count="6">
    <mergeCell ref="A1:J1"/>
    <mergeCell ref="A2:J2"/>
    <mergeCell ref="C4:E4"/>
    <mergeCell ref="F4:H4"/>
    <mergeCell ref="I4:J4"/>
    <mergeCell ref="A25:B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L10" sqref="L10"/>
    </sheetView>
  </sheetViews>
  <sheetFormatPr defaultColWidth="9.140625" defaultRowHeight="21.75"/>
  <cols>
    <col min="1" max="1" width="5.8515625" style="1" customWidth="1"/>
    <col min="2" max="2" width="47.28125" style="46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3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3.25">
      <c r="A2" s="90" t="s">
        <v>40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2" customHeight="1" thickBot="1">
      <c r="A3" s="2"/>
      <c r="B3" s="91"/>
      <c r="C3" s="3"/>
      <c r="D3" s="2"/>
      <c r="E3" s="2"/>
      <c r="F3" s="3"/>
      <c r="G3" s="3"/>
      <c r="H3" s="3"/>
      <c r="I3" s="2"/>
      <c r="J3" s="2"/>
    </row>
    <row r="4" spans="1:10" ht="22.5" customHeight="1" thickBot="1">
      <c r="A4" s="4"/>
      <c r="B4" s="92"/>
      <c r="C4" s="53" t="s">
        <v>41</v>
      </c>
      <c r="D4" s="51"/>
      <c r="E4" s="52"/>
      <c r="F4" s="53" t="s">
        <v>37</v>
      </c>
      <c r="G4" s="51"/>
      <c r="H4" s="52"/>
      <c r="I4" s="54" t="s">
        <v>4</v>
      </c>
      <c r="J4" s="52"/>
    </row>
    <row r="5" spans="1:10" ht="23.25">
      <c r="A5" s="5" t="s">
        <v>5</v>
      </c>
      <c r="B5" s="93" t="s">
        <v>6</v>
      </c>
      <c r="C5" s="6" t="s">
        <v>7</v>
      </c>
      <c r="D5" s="7" t="s">
        <v>8</v>
      </c>
      <c r="E5" s="8" t="s">
        <v>9</v>
      </c>
      <c r="F5" s="6" t="s">
        <v>7</v>
      </c>
      <c r="G5" s="7" t="s">
        <v>8</v>
      </c>
      <c r="H5" s="8" t="s">
        <v>9</v>
      </c>
      <c r="I5" s="9" t="s">
        <v>8</v>
      </c>
      <c r="J5" s="8" t="s">
        <v>10</v>
      </c>
    </row>
    <row r="6" spans="1:10" ht="24" thickBot="1">
      <c r="A6" s="10"/>
      <c r="B6" s="94"/>
      <c r="C6" s="11" t="s">
        <v>11</v>
      </c>
      <c r="D6" s="12" t="s">
        <v>12</v>
      </c>
      <c r="E6" s="13"/>
      <c r="F6" s="11" t="s">
        <v>11</v>
      </c>
      <c r="G6" s="12" t="s">
        <v>12</v>
      </c>
      <c r="H6" s="13"/>
      <c r="I6" s="14" t="s">
        <v>12</v>
      </c>
      <c r="J6" s="13"/>
    </row>
    <row r="7" spans="1:10" ht="23.25">
      <c r="A7" s="15">
        <v>1</v>
      </c>
      <c r="B7" s="16" t="s">
        <v>22</v>
      </c>
      <c r="C7" s="71">
        <v>165</v>
      </c>
      <c r="D7" s="72">
        <v>32607.97</v>
      </c>
      <c r="E7" s="73">
        <f aca="true" t="shared" si="0" ref="E7:E24">(D7/$D$25)*100</f>
        <v>46.281436184911875</v>
      </c>
      <c r="F7" s="71">
        <v>163</v>
      </c>
      <c r="G7" s="72">
        <v>32711.18</v>
      </c>
      <c r="H7" s="73">
        <f aca="true" t="shared" si="1" ref="H7:H24">(G7/$G$25)*100</f>
        <v>46.389381341703825</v>
      </c>
      <c r="I7" s="74">
        <f aca="true" t="shared" si="2" ref="I7:I24">(D7-G7)</f>
        <v>-103.20999999999913</v>
      </c>
      <c r="J7" s="75">
        <f aca="true" t="shared" si="3" ref="J7:J23">(D7-G7)/G7*100</f>
        <v>-0.3155190366107219</v>
      </c>
    </row>
    <row r="8" spans="1:10" ht="23.25">
      <c r="A8" s="15">
        <v>2</v>
      </c>
      <c r="B8" s="16" t="s">
        <v>14</v>
      </c>
      <c r="C8" s="71">
        <v>32</v>
      </c>
      <c r="D8" s="72">
        <v>11817.11</v>
      </c>
      <c r="E8" s="73">
        <f t="shared" si="0"/>
        <v>16.772366459950867</v>
      </c>
      <c r="F8" s="76">
        <v>32</v>
      </c>
      <c r="G8" s="77">
        <v>11799.59</v>
      </c>
      <c r="H8" s="73">
        <f t="shared" si="1"/>
        <v>16.73359628682778</v>
      </c>
      <c r="I8" s="74">
        <f t="shared" si="2"/>
        <v>17.520000000000437</v>
      </c>
      <c r="J8" s="78">
        <f t="shared" si="3"/>
        <v>0.14847973531284084</v>
      </c>
    </row>
    <row r="9" spans="1:10" ht="23.25">
      <c r="A9" s="15">
        <v>3</v>
      </c>
      <c r="B9" s="16" t="s">
        <v>30</v>
      </c>
      <c r="C9" s="71">
        <v>38</v>
      </c>
      <c r="D9" s="72">
        <v>6757.68</v>
      </c>
      <c r="E9" s="73">
        <f t="shared" si="0"/>
        <v>9.591370934101551</v>
      </c>
      <c r="F9" s="71">
        <v>34</v>
      </c>
      <c r="G9" s="72">
        <v>6704.53</v>
      </c>
      <c r="H9" s="73">
        <f t="shared" si="1"/>
        <v>9.508033610737783</v>
      </c>
      <c r="I9" s="74">
        <f t="shared" si="2"/>
        <v>53.150000000000546</v>
      </c>
      <c r="J9" s="74">
        <f t="shared" si="3"/>
        <v>0.7927475900622496</v>
      </c>
    </row>
    <row r="10" spans="1:10" ht="23.25">
      <c r="A10" s="15">
        <v>4</v>
      </c>
      <c r="B10" s="16" t="s">
        <v>21</v>
      </c>
      <c r="C10" s="71">
        <v>2</v>
      </c>
      <c r="D10" s="72">
        <v>5785.53</v>
      </c>
      <c r="E10" s="73">
        <f t="shared" si="0"/>
        <v>8.211570284531456</v>
      </c>
      <c r="F10" s="71">
        <v>2</v>
      </c>
      <c r="G10" s="72">
        <v>5799.21</v>
      </c>
      <c r="H10" s="73">
        <f t="shared" si="1"/>
        <v>8.224153459784155</v>
      </c>
      <c r="I10" s="74">
        <f t="shared" si="2"/>
        <v>-13.680000000000291</v>
      </c>
      <c r="J10" s="74">
        <f t="shared" si="3"/>
        <v>-0.2358941993823347</v>
      </c>
    </row>
    <row r="11" spans="1:10" ht="23.25">
      <c r="A11" s="15">
        <v>5</v>
      </c>
      <c r="B11" s="16" t="s">
        <v>38</v>
      </c>
      <c r="C11" s="71">
        <v>796</v>
      </c>
      <c r="D11" s="72">
        <v>4055.13</v>
      </c>
      <c r="E11" s="73">
        <f t="shared" si="0"/>
        <v>5.755563450178644</v>
      </c>
      <c r="F11" s="76">
        <v>795</v>
      </c>
      <c r="G11" s="77">
        <v>4045.71</v>
      </c>
      <c r="H11" s="73">
        <f t="shared" si="1"/>
        <v>5.737426286301644</v>
      </c>
      <c r="I11" s="74">
        <f t="shared" si="2"/>
        <v>9.420000000000073</v>
      </c>
      <c r="J11" s="74">
        <f t="shared" si="3"/>
        <v>0.23283922970257562</v>
      </c>
    </row>
    <row r="12" spans="1:10" ht="23.25">
      <c r="A12" s="15">
        <v>6</v>
      </c>
      <c r="B12" s="16" t="s">
        <v>24</v>
      </c>
      <c r="C12" s="71">
        <v>17</v>
      </c>
      <c r="D12" s="72">
        <v>2631.94</v>
      </c>
      <c r="E12" s="73">
        <f t="shared" si="0"/>
        <v>3.7355886659769673</v>
      </c>
      <c r="F12" s="71">
        <v>17</v>
      </c>
      <c r="G12" s="72">
        <v>2638.2</v>
      </c>
      <c r="H12" s="73">
        <f t="shared" si="1"/>
        <v>3.7413650579307447</v>
      </c>
      <c r="I12" s="74">
        <f t="shared" si="2"/>
        <v>-6.2599999999997635</v>
      </c>
      <c r="J12" s="74">
        <f t="shared" si="3"/>
        <v>-0.2372829959821001</v>
      </c>
    </row>
    <row r="13" spans="1:10" ht="23.25">
      <c r="A13" s="15">
        <v>7</v>
      </c>
      <c r="B13" s="23" t="s">
        <v>29</v>
      </c>
      <c r="C13" s="79">
        <v>3</v>
      </c>
      <c r="D13" s="80">
        <v>1740.98</v>
      </c>
      <c r="E13" s="73">
        <f t="shared" si="0"/>
        <v>2.4710233347616515</v>
      </c>
      <c r="F13" s="79">
        <v>3</v>
      </c>
      <c r="G13" s="80">
        <v>1755.03</v>
      </c>
      <c r="H13" s="73">
        <f t="shared" si="1"/>
        <v>2.488896943984609</v>
      </c>
      <c r="I13" s="74">
        <f t="shared" si="2"/>
        <v>-14.049999999999955</v>
      </c>
      <c r="J13" s="74">
        <f t="shared" si="3"/>
        <v>-0.800556115849869</v>
      </c>
    </row>
    <row r="14" spans="1:10" ht="23.25">
      <c r="A14" s="15">
        <v>8</v>
      </c>
      <c r="B14" s="23" t="s">
        <v>15</v>
      </c>
      <c r="C14" s="71">
        <v>270</v>
      </c>
      <c r="D14" s="72">
        <v>1372.93</v>
      </c>
      <c r="E14" s="73">
        <f t="shared" si="0"/>
        <v>1.9486393106148918</v>
      </c>
      <c r="F14" s="81">
        <v>269</v>
      </c>
      <c r="G14" s="82">
        <v>1267.18</v>
      </c>
      <c r="H14" s="73">
        <f t="shared" si="1"/>
        <v>1.797052146959549</v>
      </c>
      <c r="I14" s="74">
        <f t="shared" si="2"/>
        <v>105.75</v>
      </c>
      <c r="J14" s="74">
        <f t="shared" si="3"/>
        <v>8.345302167016525</v>
      </c>
    </row>
    <row r="15" spans="1:10" ht="23.25">
      <c r="A15" s="15">
        <v>9</v>
      </c>
      <c r="B15" s="16" t="s">
        <v>13</v>
      </c>
      <c r="C15" s="71">
        <v>16</v>
      </c>
      <c r="D15" s="72">
        <v>879.33</v>
      </c>
      <c r="E15" s="73">
        <f t="shared" si="0"/>
        <v>1.2480585353972835</v>
      </c>
      <c r="F15" s="76">
        <v>15</v>
      </c>
      <c r="G15" s="77">
        <v>873.04</v>
      </c>
      <c r="H15" s="73">
        <f t="shared" si="1"/>
        <v>1.2381022478113326</v>
      </c>
      <c r="I15" s="74">
        <f t="shared" si="2"/>
        <v>6.290000000000077</v>
      </c>
      <c r="J15" s="74">
        <f t="shared" si="3"/>
        <v>0.7204709978924309</v>
      </c>
    </row>
    <row r="16" spans="1:10" ht="23.25">
      <c r="A16" s="15">
        <v>10</v>
      </c>
      <c r="B16" s="16" t="s">
        <v>19</v>
      </c>
      <c r="C16" s="79">
        <v>1</v>
      </c>
      <c r="D16" s="80">
        <v>646.09</v>
      </c>
      <c r="E16" s="73">
        <f t="shared" si="0"/>
        <v>0.9170142485015079</v>
      </c>
      <c r="F16" s="71">
        <v>1</v>
      </c>
      <c r="G16" s="72">
        <v>650.66</v>
      </c>
      <c r="H16" s="73">
        <f t="shared" si="1"/>
        <v>0.9227339051600404</v>
      </c>
      <c r="I16" s="74">
        <f t="shared" si="2"/>
        <v>-4.569999999999936</v>
      </c>
      <c r="J16" s="74">
        <f t="shared" si="3"/>
        <v>-0.7023637537269751</v>
      </c>
    </row>
    <row r="17" spans="1:10" ht="23.25">
      <c r="A17" s="15">
        <v>11</v>
      </c>
      <c r="B17" s="16" t="s">
        <v>20</v>
      </c>
      <c r="C17" s="71">
        <v>2</v>
      </c>
      <c r="D17" s="83">
        <v>615.13</v>
      </c>
      <c r="E17" s="73">
        <f t="shared" si="0"/>
        <v>0.8730718238646823</v>
      </c>
      <c r="F17" s="79">
        <v>2</v>
      </c>
      <c r="G17" s="80">
        <v>618.58</v>
      </c>
      <c r="H17" s="73">
        <f t="shared" si="1"/>
        <v>0.877239632148738</v>
      </c>
      <c r="I17" s="74">
        <f t="shared" si="2"/>
        <v>-3.4500000000000455</v>
      </c>
      <c r="J17" s="74">
        <f t="shared" si="3"/>
        <v>-0.5577289922079675</v>
      </c>
    </row>
    <row r="18" spans="1:10" ht="23.25">
      <c r="A18" s="15">
        <v>12</v>
      </c>
      <c r="B18" s="16" t="s">
        <v>26</v>
      </c>
      <c r="C18" s="71">
        <v>2</v>
      </c>
      <c r="D18" s="83">
        <v>628.48</v>
      </c>
      <c r="E18" s="73">
        <f t="shared" si="0"/>
        <v>0.8920198654958716</v>
      </c>
      <c r="F18" s="71">
        <v>3</v>
      </c>
      <c r="G18" s="83">
        <v>590.56</v>
      </c>
      <c r="H18" s="73">
        <f t="shared" si="1"/>
        <v>0.8375030507965965</v>
      </c>
      <c r="I18" s="74">
        <f t="shared" si="2"/>
        <v>37.92000000000007</v>
      </c>
      <c r="J18" s="74">
        <f t="shared" si="3"/>
        <v>6.421024112706597</v>
      </c>
    </row>
    <row r="19" spans="1:10" ht="23.25">
      <c r="A19" s="15">
        <v>13</v>
      </c>
      <c r="B19" s="16" t="s">
        <v>25</v>
      </c>
      <c r="C19" s="71">
        <v>55</v>
      </c>
      <c r="D19" s="83">
        <v>448.08</v>
      </c>
      <c r="E19" s="73">
        <f t="shared" si="0"/>
        <v>0.6359729209066162</v>
      </c>
      <c r="F19" s="71">
        <v>53</v>
      </c>
      <c r="G19" s="83">
        <v>427.05</v>
      </c>
      <c r="H19" s="73">
        <f t="shared" si="1"/>
        <v>0.6056212372031403</v>
      </c>
      <c r="I19" s="74">
        <f t="shared" si="2"/>
        <v>21.029999999999973</v>
      </c>
      <c r="J19" s="74">
        <f t="shared" si="3"/>
        <v>4.924481910783274</v>
      </c>
    </row>
    <row r="20" spans="1:10" ht="23.25">
      <c r="A20" s="15">
        <v>14</v>
      </c>
      <c r="B20" s="16" t="s">
        <v>28</v>
      </c>
      <c r="C20" s="71">
        <v>2</v>
      </c>
      <c r="D20" s="83">
        <v>398.51</v>
      </c>
      <c r="E20" s="73">
        <f t="shared" si="0"/>
        <v>0.5656167843030165</v>
      </c>
      <c r="F20" s="71">
        <v>1</v>
      </c>
      <c r="G20" s="83">
        <v>394.3</v>
      </c>
      <c r="H20" s="73">
        <f t="shared" si="1"/>
        <v>0.5591768032530108</v>
      </c>
      <c r="I20" s="74">
        <f t="shared" si="2"/>
        <v>4.2099999999999795</v>
      </c>
      <c r="J20" s="74">
        <f t="shared" si="3"/>
        <v>1.0677149378645647</v>
      </c>
    </row>
    <row r="21" spans="1:10" ht="23.25">
      <c r="A21" s="15">
        <v>15</v>
      </c>
      <c r="B21" s="16" t="s">
        <v>42</v>
      </c>
      <c r="C21" s="71">
        <v>3</v>
      </c>
      <c r="D21" s="83">
        <v>65.81</v>
      </c>
      <c r="E21" s="73">
        <f t="shared" si="0"/>
        <v>0.09340603893247727</v>
      </c>
      <c r="F21" s="71">
        <v>3</v>
      </c>
      <c r="G21" s="83">
        <v>65.64</v>
      </c>
      <c r="H21" s="73">
        <f t="shared" si="1"/>
        <v>0.0930874089919544</v>
      </c>
      <c r="I21" s="74">
        <f t="shared" si="2"/>
        <v>0.1700000000000017</v>
      </c>
      <c r="J21" s="74">
        <f t="shared" si="3"/>
        <v>0.25898842169409153</v>
      </c>
    </row>
    <row r="22" spans="1:10" ht="23.25">
      <c r="A22" s="15">
        <v>16</v>
      </c>
      <c r="B22" s="16" t="s">
        <v>27</v>
      </c>
      <c r="C22" s="71">
        <v>1</v>
      </c>
      <c r="D22" s="83">
        <v>5.13</v>
      </c>
      <c r="E22" s="73">
        <f t="shared" si="0"/>
        <v>0.007281157570636808</v>
      </c>
      <c r="F22" s="76">
        <v>2</v>
      </c>
      <c r="G22" s="84">
        <v>75.88</v>
      </c>
      <c r="H22" s="73">
        <f t="shared" si="1"/>
        <v>0.10760927169880408</v>
      </c>
      <c r="I22" s="74">
        <f t="shared" si="2"/>
        <v>-70.75</v>
      </c>
      <c r="J22" s="74">
        <f t="shared" si="3"/>
        <v>-93.23932525039537</v>
      </c>
    </row>
    <row r="23" spans="1:10" ht="23.25">
      <c r="A23" s="15">
        <v>17</v>
      </c>
      <c r="B23" s="16" t="s">
        <v>43</v>
      </c>
      <c r="C23" s="71"/>
      <c r="D23" s="83"/>
      <c r="E23" s="73">
        <f t="shared" si="0"/>
        <v>0</v>
      </c>
      <c r="F23" s="71">
        <v>5</v>
      </c>
      <c r="G23" s="83">
        <v>98.03</v>
      </c>
      <c r="H23" s="73">
        <f t="shared" si="1"/>
        <v>0.13902130870629634</v>
      </c>
      <c r="I23" s="74">
        <f t="shared" si="2"/>
        <v>-98.03</v>
      </c>
      <c r="J23" s="74">
        <f t="shared" si="3"/>
        <v>-100</v>
      </c>
    </row>
    <row r="24" spans="1:10" ht="24" thickBot="1">
      <c r="A24" s="28">
        <v>18</v>
      </c>
      <c r="B24" s="29" t="s">
        <v>18</v>
      </c>
      <c r="C24" s="71"/>
      <c r="D24" s="83"/>
      <c r="E24" s="73">
        <f t="shared" si="0"/>
        <v>0</v>
      </c>
      <c r="F24" s="79"/>
      <c r="G24" s="85"/>
      <c r="H24" s="73">
        <f t="shared" si="1"/>
        <v>0</v>
      </c>
      <c r="I24" s="74">
        <f t="shared" si="2"/>
        <v>0</v>
      </c>
      <c r="J24" s="74">
        <v>0</v>
      </c>
    </row>
    <row r="25" spans="1:11" ht="24" thickBot="1">
      <c r="A25" s="47" t="s">
        <v>31</v>
      </c>
      <c r="B25" s="48"/>
      <c r="C25" s="86">
        <f>SUM(C7:C24)</f>
        <v>1405</v>
      </c>
      <c r="D25" s="87">
        <f>SUM(D7:D24)</f>
        <v>70455.83</v>
      </c>
      <c r="E25" s="88"/>
      <c r="F25" s="86">
        <v>3</v>
      </c>
      <c r="G25" s="87">
        <f>SUM(G7:G24)</f>
        <v>70514.37</v>
      </c>
      <c r="H25" s="88">
        <v>0.0930874089919544</v>
      </c>
      <c r="I25" s="89">
        <f>SUM(I7:I24)</f>
        <v>-58.53999999999796</v>
      </c>
      <c r="J25" s="89">
        <f>(D25-G25)/G25*100</f>
        <v>-0.08301853934168824</v>
      </c>
      <c r="K25" s="31"/>
    </row>
    <row r="26" spans="1:11" ht="23.25">
      <c r="A26" s="36"/>
      <c r="B26" s="43" t="s">
        <v>32</v>
      </c>
      <c r="C26" s="95"/>
      <c r="D26" s="96"/>
      <c r="E26" s="40"/>
      <c r="F26" s="95"/>
      <c r="G26" s="96"/>
      <c r="H26" s="44" t="s">
        <v>33</v>
      </c>
      <c r="I26" s="97"/>
      <c r="J26" s="42"/>
      <c r="K26" s="31"/>
    </row>
    <row r="27" spans="2:10" ht="21">
      <c r="B27" s="46" t="s">
        <v>44</v>
      </c>
      <c r="H27" s="44" t="s">
        <v>35</v>
      </c>
      <c r="J27" s="45"/>
    </row>
    <row r="28" spans="8:10" ht="21">
      <c r="H28" s="44"/>
      <c r="J28" s="45"/>
    </row>
  </sheetData>
  <sheetProtection/>
  <mergeCells count="6">
    <mergeCell ref="A1:J1"/>
    <mergeCell ref="A2:J2"/>
    <mergeCell ref="C4:E4"/>
    <mergeCell ref="F4:H4"/>
    <mergeCell ref="I4:J4"/>
    <mergeCell ref="A25:B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O6" sqref="O6"/>
    </sheetView>
  </sheetViews>
  <sheetFormatPr defaultColWidth="9.140625" defaultRowHeight="21.75"/>
  <cols>
    <col min="1" max="1" width="5.8515625" style="1" customWidth="1"/>
    <col min="2" max="2" width="47.28125" style="46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3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3.25">
      <c r="A2" s="90" t="s">
        <v>45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2" customHeight="1" thickBot="1">
      <c r="A3" s="2"/>
      <c r="B3" s="91"/>
      <c r="C3" s="3"/>
      <c r="D3" s="2"/>
      <c r="E3" s="2"/>
      <c r="F3" s="3"/>
      <c r="G3" s="3"/>
      <c r="H3" s="3"/>
      <c r="I3" s="2"/>
      <c r="J3" s="2"/>
    </row>
    <row r="4" spans="1:10" ht="22.5" customHeight="1" thickBot="1">
      <c r="A4" s="4"/>
      <c r="B4" s="92"/>
      <c r="C4" s="53" t="s">
        <v>46</v>
      </c>
      <c r="D4" s="51"/>
      <c r="E4" s="52"/>
      <c r="F4" s="53" t="s">
        <v>41</v>
      </c>
      <c r="G4" s="51"/>
      <c r="H4" s="52"/>
      <c r="I4" s="54" t="s">
        <v>4</v>
      </c>
      <c r="J4" s="52"/>
    </row>
    <row r="5" spans="1:10" ht="23.25">
      <c r="A5" s="5" t="s">
        <v>5</v>
      </c>
      <c r="B5" s="93" t="s">
        <v>6</v>
      </c>
      <c r="C5" s="6" t="s">
        <v>7</v>
      </c>
      <c r="D5" s="7" t="s">
        <v>8</v>
      </c>
      <c r="E5" s="8" t="s">
        <v>9</v>
      </c>
      <c r="F5" s="6" t="s">
        <v>7</v>
      </c>
      <c r="G5" s="7" t="s">
        <v>8</v>
      </c>
      <c r="H5" s="8" t="s">
        <v>9</v>
      </c>
      <c r="I5" s="9" t="s">
        <v>8</v>
      </c>
      <c r="J5" s="8" t="s">
        <v>10</v>
      </c>
    </row>
    <row r="6" spans="1:10" ht="24" thickBot="1">
      <c r="A6" s="10"/>
      <c r="B6" s="94"/>
      <c r="C6" s="11" t="s">
        <v>11</v>
      </c>
      <c r="D6" s="12" t="s">
        <v>12</v>
      </c>
      <c r="E6" s="13"/>
      <c r="F6" s="11" t="s">
        <v>11</v>
      </c>
      <c r="G6" s="12" t="s">
        <v>12</v>
      </c>
      <c r="H6" s="13"/>
      <c r="I6" s="14" t="s">
        <v>12</v>
      </c>
      <c r="J6" s="13"/>
    </row>
    <row r="7" spans="1:10" ht="23.25">
      <c r="A7" s="15">
        <v>1</v>
      </c>
      <c r="B7" s="16" t="s">
        <v>22</v>
      </c>
      <c r="C7" s="98">
        <v>163</v>
      </c>
      <c r="D7" s="99">
        <v>32961.204</v>
      </c>
      <c r="E7" s="100">
        <f aca="true" t="shared" si="0" ref="E7:E22">(D7/$D$25)*100</f>
        <v>46.358934100763186</v>
      </c>
      <c r="F7" s="98">
        <v>165</v>
      </c>
      <c r="G7" s="99">
        <v>32607.97</v>
      </c>
      <c r="H7" s="100">
        <v>46.281436184911875</v>
      </c>
      <c r="I7" s="101">
        <f aca="true" t="shared" si="1" ref="I7:I24">(D7-G7)</f>
        <v>353.23399999999674</v>
      </c>
      <c r="J7" s="102">
        <f aca="true" t="shared" si="2" ref="J7:J22">(D7-G7)/G7*100</f>
        <v>1.083275039813876</v>
      </c>
    </row>
    <row r="8" spans="1:10" ht="23.25">
      <c r="A8" s="15">
        <v>2</v>
      </c>
      <c r="B8" s="16" t="s">
        <v>14</v>
      </c>
      <c r="C8" s="98">
        <v>32</v>
      </c>
      <c r="D8" s="99">
        <v>11886.13</v>
      </c>
      <c r="E8" s="100">
        <f t="shared" si="0"/>
        <v>16.717481478622698</v>
      </c>
      <c r="F8" s="103">
        <v>32</v>
      </c>
      <c r="G8" s="104">
        <v>11817.11</v>
      </c>
      <c r="H8" s="100">
        <v>16.772366459950867</v>
      </c>
      <c r="I8" s="101">
        <f t="shared" si="1"/>
        <v>69.01999999999862</v>
      </c>
      <c r="J8" s="105">
        <f t="shared" si="2"/>
        <v>0.584068355122349</v>
      </c>
    </row>
    <row r="9" spans="1:10" ht="23.25">
      <c r="A9" s="15">
        <v>3</v>
      </c>
      <c r="B9" s="16" t="s">
        <v>30</v>
      </c>
      <c r="C9" s="98">
        <v>39</v>
      </c>
      <c r="D9" s="99">
        <v>6812.57</v>
      </c>
      <c r="E9" s="100">
        <f t="shared" si="0"/>
        <v>9.581673159962126</v>
      </c>
      <c r="F9" s="98">
        <v>38</v>
      </c>
      <c r="G9" s="99">
        <v>6757.68</v>
      </c>
      <c r="H9" s="100">
        <v>9.591370934101551</v>
      </c>
      <c r="I9" s="101">
        <f t="shared" si="1"/>
        <v>54.88999999999942</v>
      </c>
      <c r="J9" s="101">
        <f t="shared" si="2"/>
        <v>0.8122610126552221</v>
      </c>
    </row>
    <row r="10" spans="1:10" ht="23.25">
      <c r="A10" s="15">
        <v>4</v>
      </c>
      <c r="B10" s="16" t="s">
        <v>21</v>
      </c>
      <c r="C10" s="98">
        <v>2</v>
      </c>
      <c r="D10" s="99">
        <v>5824.01</v>
      </c>
      <c r="E10" s="100">
        <f t="shared" si="0"/>
        <v>8.191293491347764</v>
      </c>
      <c r="F10" s="98">
        <v>2</v>
      </c>
      <c r="G10" s="99">
        <v>5785.53</v>
      </c>
      <c r="H10" s="100">
        <v>8.211570284531456</v>
      </c>
      <c r="I10" s="101">
        <f t="shared" si="1"/>
        <v>38.48000000000047</v>
      </c>
      <c r="J10" s="101">
        <f t="shared" si="2"/>
        <v>0.6651076046619839</v>
      </c>
    </row>
    <row r="11" spans="1:10" ht="23.25">
      <c r="A11" s="15">
        <v>5</v>
      </c>
      <c r="B11" s="16" t="s">
        <v>38</v>
      </c>
      <c r="C11" s="98">
        <v>794</v>
      </c>
      <c r="D11" s="99">
        <v>4039.79</v>
      </c>
      <c r="E11" s="100">
        <f t="shared" si="0"/>
        <v>5.681842155733211</v>
      </c>
      <c r="F11" s="103">
        <v>796</v>
      </c>
      <c r="G11" s="104">
        <v>4055.13</v>
      </c>
      <c r="H11" s="100">
        <v>5.755563450178644</v>
      </c>
      <c r="I11" s="101">
        <f t="shared" si="1"/>
        <v>-15.340000000000146</v>
      </c>
      <c r="J11" s="101">
        <f t="shared" si="2"/>
        <v>-0.3782862694907474</v>
      </c>
    </row>
    <row r="12" spans="1:10" ht="23.25">
      <c r="A12" s="15">
        <v>6</v>
      </c>
      <c r="B12" s="16" t="s">
        <v>24</v>
      </c>
      <c r="C12" s="98">
        <v>16</v>
      </c>
      <c r="D12" s="99">
        <v>2645.054</v>
      </c>
      <c r="E12" s="100">
        <f t="shared" si="0"/>
        <v>3.7201882576546685</v>
      </c>
      <c r="F12" s="98">
        <v>17</v>
      </c>
      <c r="G12" s="99">
        <v>2631.94</v>
      </c>
      <c r="H12" s="100">
        <v>3.7355886659769673</v>
      </c>
      <c r="I12" s="101">
        <f t="shared" si="1"/>
        <v>13.114000000000033</v>
      </c>
      <c r="J12" s="101">
        <f t="shared" si="2"/>
        <v>0.4982636382288363</v>
      </c>
    </row>
    <row r="13" spans="1:10" ht="23.25">
      <c r="A13" s="15">
        <v>7</v>
      </c>
      <c r="B13" s="23" t="s">
        <v>29</v>
      </c>
      <c r="C13" s="106">
        <v>3</v>
      </c>
      <c r="D13" s="107">
        <v>1769.83</v>
      </c>
      <c r="E13" s="100">
        <f t="shared" si="0"/>
        <v>2.4892122368938256</v>
      </c>
      <c r="F13" s="106">
        <v>3</v>
      </c>
      <c r="G13" s="107">
        <v>1740.98</v>
      </c>
      <c r="H13" s="100">
        <v>2.4710233347616515</v>
      </c>
      <c r="I13" s="101">
        <f t="shared" si="1"/>
        <v>28.84999999999991</v>
      </c>
      <c r="J13" s="101">
        <f t="shared" si="2"/>
        <v>1.657112660685356</v>
      </c>
    </row>
    <row r="14" spans="1:10" ht="23.25">
      <c r="A14" s="15">
        <v>8</v>
      </c>
      <c r="B14" s="23" t="s">
        <v>15</v>
      </c>
      <c r="C14" s="98">
        <v>270</v>
      </c>
      <c r="D14" s="99">
        <v>1377.071</v>
      </c>
      <c r="E14" s="100">
        <f t="shared" si="0"/>
        <v>1.9368086111500074</v>
      </c>
      <c r="F14" s="108">
        <v>270</v>
      </c>
      <c r="G14" s="109">
        <v>1372.93</v>
      </c>
      <c r="H14" s="100">
        <v>1.9486393106148918</v>
      </c>
      <c r="I14" s="101">
        <f t="shared" si="1"/>
        <v>4.140999999999849</v>
      </c>
      <c r="J14" s="101">
        <f t="shared" si="2"/>
        <v>0.30161770811329414</v>
      </c>
    </row>
    <row r="15" spans="1:10" ht="23.25">
      <c r="A15" s="15">
        <v>9</v>
      </c>
      <c r="B15" s="16" t="s">
        <v>13</v>
      </c>
      <c r="C15" s="98">
        <v>15</v>
      </c>
      <c r="D15" s="99">
        <v>875.66</v>
      </c>
      <c r="E15" s="100">
        <f t="shared" si="0"/>
        <v>1.231589241542096</v>
      </c>
      <c r="F15" s="103">
        <v>16</v>
      </c>
      <c r="G15" s="104">
        <v>879.33</v>
      </c>
      <c r="H15" s="100">
        <v>1.2480585353972835</v>
      </c>
      <c r="I15" s="101">
        <f t="shared" si="1"/>
        <v>-3.6700000000000728</v>
      </c>
      <c r="J15" s="101">
        <f t="shared" si="2"/>
        <v>-0.41736321972411633</v>
      </c>
    </row>
    <row r="16" spans="1:10" ht="23.25">
      <c r="A16" s="15">
        <v>10</v>
      </c>
      <c r="B16" s="16" t="s">
        <v>19</v>
      </c>
      <c r="C16" s="106">
        <v>1</v>
      </c>
      <c r="D16" s="107">
        <v>661.86</v>
      </c>
      <c r="E16" s="100">
        <f t="shared" si="0"/>
        <v>0.9308860235788452</v>
      </c>
      <c r="F16" s="98">
        <v>1</v>
      </c>
      <c r="G16" s="99">
        <v>646.09</v>
      </c>
      <c r="H16" s="100">
        <v>0.9170142485015079</v>
      </c>
      <c r="I16" s="101">
        <f t="shared" si="1"/>
        <v>15.769999999999982</v>
      </c>
      <c r="J16" s="101">
        <f t="shared" si="2"/>
        <v>2.440836415979195</v>
      </c>
    </row>
    <row r="17" spans="1:10" ht="23.25">
      <c r="A17" s="15">
        <v>11</v>
      </c>
      <c r="B17" s="16" t="s">
        <v>26</v>
      </c>
      <c r="C17" s="98">
        <v>2</v>
      </c>
      <c r="D17" s="110">
        <v>646.61</v>
      </c>
      <c r="E17" s="100">
        <f t="shared" si="0"/>
        <v>0.909437360931794</v>
      </c>
      <c r="F17" s="98">
        <v>2</v>
      </c>
      <c r="G17" s="110">
        <v>628.48</v>
      </c>
      <c r="H17" s="100">
        <v>0.8920198654958716</v>
      </c>
      <c r="I17" s="101">
        <f>(D17-G17)</f>
        <v>18.129999999999995</v>
      </c>
      <c r="J17" s="101">
        <f>(D17-G17)/G17*100</f>
        <v>2.8847377800407323</v>
      </c>
    </row>
    <row r="18" spans="1:10" ht="23.25">
      <c r="A18" s="15">
        <v>12</v>
      </c>
      <c r="B18" s="16" t="s">
        <v>20</v>
      </c>
      <c r="C18" s="98">
        <v>2</v>
      </c>
      <c r="D18" s="110">
        <v>621.373</v>
      </c>
      <c r="E18" s="100">
        <f t="shared" si="0"/>
        <v>0.873942285572867</v>
      </c>
      <c r="F18" s="106">
        <v>2</v>
      </c>
      <c r="G18" s="107">
        <v>615.13</v>
      </c>
      <c r="H18" s="100">
        <v>0.8730718238646823</v>
      </c>
      <c r="I18" s="101">
        <f t="shared" si="1"/>
        <v>6.243000000000052</v>
      </c>
      <c r="J18" s="101">
        <f t="shared" si="2"/>
        <v>1.0149074179441828</v>
      </c>
    </row>
    <row r="19" spans="1:10" ht="23.25">
      <c r="A19" s="15">
        <v>13</v>
      </c>
      <c r="B19" s="16" t="s">
        <v>25</v>
      </c>
      <c r="C19" s="98">
        <v>56</v>
      </c>
      <c r="D19" s="110">
        <v>499.23</v>
      </c>
      <c r="E19" s="100">
        <f t="shared" si="0"/>
        <v>0.7021518592319629</v>
      </c>
      <c r="F19" s="98">
        <v>55</v>
      </c>
      <c r="G19" s="110">
        <v>448.08</v>
      </c>
      <c r="H19" s="100">
        <v>0.6359729209066162</v>
      </c>
      <c r="I19" s="101">
        <f t="shared" si="1"/>
        <v>51.150000000000034</v>
      </c>
      <c r="J19" s="101">
        <f t="shared" si="2"/>
        <v>11.41537225495448</v>
      </c>
    </row>
    <row r="20" spans="1:10" ht="23.25">
      <c r="A20" s="15">
        <v>14</v>
      </c>
      <c r="B20" s="16" t="s">
        <v>28</v>
      </c>
      <c r="C20" s="98">
        <v>2</v>
      </c>
      <c r="D20" s="110">
        <v>402.14</v>
      </c>
      <c r="E20" s="100">
        <f t="shared" si="0"/>
        <v>0.565597717828539</v>
      </c>
      <c r="F20" s="98">
        <v>2</v>
      </c>
      <c r="G20" s="110">
        <v>398.51</v>
      </c>
      <c r="H20" s="100">
        <v>0.5656167843030165</v>
      </c>
      <c r="I20" s="101">
        <f t="shared" si="1"/>
        <v>3.6299999999999955</v>
      </c>
      <c r="J20" s="101">
        <f t="shared" si="2"/>
        <v>0.9108930767107464</v>
      </c>
    </row>
    <row r="21" spans="1:10" ht="23.25">
      <c r="A21" s="15">
        <v>15</v>
      </c>
      <c r="B21" s="16" t="s">
        <v>42</v>
      </c>
      <c r="C21" s="98">
        <v>3</v>
      </c>
      <c r="D21" s="110">
        <v>65.69</v>
      </c>
      <c r="E21" s="100">
        <f t="shared" si="0"/>
        <v>0.09239099339572468</v>
      </c>
      <c r="F21" s="98">
        <v>3</v>
      </c>
      <c r="G21" s="110">
        <v>65.81</v>
      </c>
      <c r="H21" s="100">
        <v>0.09340603893247727</v>
      </c>
      <c r="I21" s="101">
        <f t="shared" si="1"/>
        <v>-0.12000000000000455</v>
      </c>
      <c r="J21" s="101">
        <f t="shared" si="2"/>
        <v>-0.18234310895001452</v>
      </c>
    </row>
    <row r="22" spans="1:10" ht="23.25">
      <c r="A22" s="15">
        <v>16</v>
      </c>
      <c r="B22" s="16" t="s">
        <v>27</v>
      </c>
      <c r="C22" s="98">
        <v>2</v>
      </c>
      <c r="D22" s="110">
        <v>11.782</v>
      </c>
      <c r="E22" s="100">
        <f t="shared" si="0"/>
        <v>0.016571025790659586</v>
      </c>
      <c r="F22" s="103">
        <v>1</v>
      </c>
      <c r="G22" s="111">
        <v>5.13</v>
      </c>
      <c r="H22" s="100">
        <v>0.007281157570636808</v>
      </c>
      <c r="I22" s="101">
        <f t="shared" si="1"/>
        <v>6.652</v>
      </c>
      <c r="J22" s="101">
        <f t="shared" si="2"/>
        <v>129.66861598440548</v>
      </c>
    </row>
    <row r="23" spans="1:10" ht="23.25">
      <c r="A23" s="15">
        <v>17</v>
      </c>
      <c r="B23" s="16" t="s">
        <v>43</v>
      </c>
      <c r="C23" s="98"/>
      <c r="D23" s="110"/>
      <c r="E23" s="100"/>
      <c r="F23" s="98"/>
      <c r="G23" s="110"/>
      <c r="H23" s="100">
        <v>0</v>
      </c>
      <c r="I23" s="101">
        <f t="shared" si="1"/>
        <v>0</v>
      </c>
      <c r="J23" s="101">
        <v>0</v>
      </c>
    </row>
    <row r="24" spans="1:10" ht="24" thickBot="1">
      <c r="A24" s="28">
        <v>18</v>
      </c>
      <c r="B24" s="29" t="s">
        <v>18</v>
      </c>
      <c r="C24" s="98"/>
      <c r="D24" s="110"/>
      <c r="E24" s="100"/>
      <c r="F24" s="106"/>
      <c r="G24" s="112"/>
      <c r="H24" s="100">
        <v>0</v>
      </c>
      <c r="I24" s="101">
        <f t="shared" si="1"/>
        <v>0</v>
      </c>
      <c r="J24" s="101">
        <v>0</v>
      </c>
    </row>
    <row r="25" spans="1:11" ht="24" thickBot="1">
      <c r="A25" s="47" t="s">
        <v>31</v>
      </c>
      <c r="B25" s="48"/>
      <c r="C25" s="113">
        <f aca="true" t="shared" si="3" ref="C25:I25">SUM(C7:C24)</f>
        <v>1402</v>
      </c>
      <c r="D25" s="114">
        <f t="shared" si="3"/>
        <v>71100.00400000002</v>
      </c>
      <c r="E25" s="115">
        <f t="shared" si="3"/>
        <v>99.99999999999996</v>
      </c>
      <c r="F25" s="113">
        <f t="shared" si="3"/>
        <v>1405</v>
      </c>
      <c r="G25" s="114">
        <f t="shared" si="3"/>
        <v>70455.83</v>
      </c>
      <c r="H25" s="115">
        <f t="shared" si="3"/>
        <v>99.99999999999996</v>
      </c>
      <c r="I25" s="116">
        <f t="shared" si="3"/>
        <v>644.173999999995</v>
      </c>
      <c r="J25" s="116">
        <f>(D25-G25)/G25*100</f>
        <v>0.9142948142119873</v>
      </c>
      <c r="K25" s="31"/>
    </row>
    <row r="26" spans="1:11" ht="23.25">
      <c r="A26" s="36"/>
      <c r="B26" s="43" t="s">
        <v>32</v>
      </c>
      <c r="C26" s="117"/>
      <c r="D26" s="118"/>
      <c r="E26" s="40"/>
      <c r="F26" s="117"/>
      <c r="G26" s="118"/>
      <c r="H26" s="44" t="s">
        <v>33</v>
      </c>
      <c r="I26" s="119"/>
      <c r="J26" s="42"/>
      <c r="K26" s="31"/>
    </row>
    <row r="27" spans="2:10" ht="21">
      <c r="B27" s="46" t="s">
        <v>47</v>
      </c>
      <c r="H27" s="44" t="s">
        <v>35</v>
      </c>
      <c r="J27" s="45"/>
    </row>
    <row r="28" spans="8:10" ht="21">
      <c r="H28" s="44"/>
      <c r="J28" s="45"/>
    </row>
  </sheetData>
  <sheetProtection/>
  <mergeCells count="6">
    <mergeCell ref="A1:J1"/>
    <mergeCell ref="A2:J2"/>
    <mergeCell ref="C4:E4"/>
    <mergeCell ref="F4:H4"/>
    <mergeCell ref="I4:J4"/>
    <mergeCell ref="A25:B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N4" sqref="N4"/>
    </sheetView>
  </sheetViews>
  <sheetFormatPr defaultColWidth="9.140625" defaultRowHeight="21.75"/>
  <cols>
    <col min="1" max="1" width="5.8515625" style="1" customWidth="1"/>
    <col min="2" max="2" width="47.28125" style="46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3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3.25">
      <c r="A2" s="90" t="s">
        <v>48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2" customHeight="1" thickBot="1">
      <c r="A3" s="2"/>
      <c r="B3" s="91"/>
      <c r="C3" s="3"/>
      <c r="D3" s="2"/>
      <c r="E3" s="2"/>
      <c r="F3" s="3"/>
      <c r="G3" s="3"/>
      <c r="H3" s="3"/>
      <c r="I3" s="2"/>
      <c r="J3" s="2"/>
    </row>
    <row r="4" spans="1:10" ht="22.5" customHeight="1" thickBot="1">
      <c r="A4" s="4"/>
      <c r="B4" s="92"/>
      <c r="C4" s="53" t="s">
        <v>49</v>
      </c>
      <c r="D4" s="51"/>
      <c r="E4" s="52"/>
      <c r="F4" s="53" t="s">
        <v>46</v>
      </c>
      <c r="G4" s="51"/>
      <c r="H4" s="52"/>
      <c r="I4" s="54" t="s">
        <v>4</v>
      </c>
      <c r="J4" s="52"/>
    </row>
    <row r="5" spans="1:10" ht="23.25">
      <c r="A5" s="5" t="s">
        <v>5</v>
      </c>
      <c r="B5" s="93" t="s">
        <v>6</v>
      </c>
      <c r="C5" s="6" t="s">
        <v>7</v>
      </c>
      <c r="D5" s="7" t="s">
        <v>8</v>
      </c>
      <c r="E5" s="8" t="s">
        <v>9</v>
      </c>
      <c r="F5" s="6" t="s">
        <v>7</v>
      </c>
      <c r="G5" s="7" t="s">
        <v>8</v>
      </c>
      <c r="H5" s="8" t="s">
        <v>9</v>
      </c>
      <c r="I5" s="9" t="s">
        <v>8</v>
      </c>
      <c r="J5" s="8" t="s">
        <v>10</v>
      </c>
    </row>
    <row r="6" spans="1:10" ht="24" thickBot="1">
      <c r="A6" s="10"/>
      <c r="B6" s="94"/>
      <c r="C6" s="11" t="s">
        <v>11</v>
      </c>
      <c r="D6" s="12" t="s">
        <v>12</v>
      </c>
      <c r="E6" s="13"/>
      <c r="F6" s="11" t="s">
        <v>11</v>
      </c>
      <c r="G6" s="12" t="s">
        <v>12</v>
      </c>
      <c r="H6" s="13"/>
      <c r="I6" s="14" t="s">
        <v>12</v>
      </c>
      <c r="J6" s="13"/>
    </row>
    <row r="7" spans="1:10" ht="23.25">
      <c r="A7" s="15">
        <v>1</v>
      </c>
      <c r="B7" s="16" t="s">
        <v>22</v>
      </c>
      <c r="C7" s="98">
        <v>161</v>
      </c>
      <c r="D7" s="99">
        <v>33264.84</v>
      </c>
      <c r="E7" s="100">
        <f aca="true" t="shared" si="0" ref="E7:E22">(D7/$D$25)*100</f>
        <v>46.08630998087974</v>
      </c>
      <c r="F7" s="98">
        <v>163</v>
      </c>
      <c r="G7" s="99">
        <v>32961.204</v>
      </c>
      <c r="H7" s="100">
        <v>46.358934100763186</v>
      </c>
      <c r="I7" s="101">
        <f aca="true" t="shared" si="1" ref="I7:I24">(D7-G7)</f>
        <v>303.6359999999986</v>
      </c>
      <c r="J7" s="102">
        <f aca="true" t="shared" si="2" ref="J7:J22">(D7-G7)/G7*100</f>
        <v>0.9211920778136582</v>
      </c>
    </row>
    <row r="8" spans="1:10" ht="23.25">
      <c r="A8" s="15">
        <v>2</v>
      </c>
      <c r="B8" s="16" t="s">
        <v>14</v>
      </c>
      <c r="C8" s="98">
        <v>32</v>
      </c>
      <c r="D8" s="99">
        <v>12019.96</v>
      </c>
      <c r="E8" s="100">
        <f t="shared" si="0"/>
        <v>16.652886426562556</v>
      </c>
      <c r="F8" s="103">
        <v>32</v>
      </c>
      <c r="G8" s="104">
        <v>11886.13</v>
      </c>
      <c r="H8" s="100">
        <v>16.717481478622698</v>
      </c>
      <c r="I8" s="101">
        <f t="shared" si="1"/>
        <v>133.82999999999993</v>
      </c>
      <c r="J8" s="105">
        <f t="shared" si="2"/>
        <v>1.1259341770618354</v>
      </c>
    </row>
    <row r="9" spans="1:10" ht="23.25">
      <c r="A9" s="15">
        <v>3</v>
      </c>
      <c r="B9" s="16" t="s">
        <v>30</v>
      </c>
      <c r="C9" s="98">
        <v>39</v>
      </c>
      <c r="D9" s="99">
        <v>6901.56</v>
      </c>
      <c r="E9" s="100">
        <f t="shared" si="0"/>
        <v>9.56167032553412</v>
      </c>
      <c r="F9" s="98">
        <v>39</v>
      </c>
      <c r="G9" s="99">
        <v>6812.57</v>
      </c>
      <c r="H9" s="100">
        <v>9.581673159962126</v>
      </c>
      <c r="I9" s="101">
        <f t="shared" si="1"/>
        <v>88.99000000000069</v>
      </c>
      <c r="J9" s="101">
        <f t="shared" si="2"/>
        <v>1.3062618072181378</v>
      </c>
    </row>
    <row r="10" spans="1:10" ht="23.25">
      <c r="A10" s="15">
        <v>4</v>
      </c>
      <c r="B10" s="16" t="s">
        <v>21</v>
      </c>
      <c r="C10" s="98">
        <v>2</v>
      </c>
      <c r="D10" s="99">
        <v>5862.94</v>
      </c>
      <c r="E10" s="100">
        <f t="shared" si="0"/>
        <v>8.122728690091371</v>
      </c>
      <c r="F10" s="98">
        <v>2</v>
      </c>
      <c r="G10" s="99">
        <v>5824.01</v>
      </c>
      <c r="H10" s="100">
        <v>8.191293491347764</v>
      </c>
      <c r="I10" s="101">
        <f t="shared" si="1"/>
        <v>38.92999999999938</v>
      </c>
      <c r="J10" s="101">
        <f t="shared" si="2"/>
        <v>0.6684397863327738</v>
      </c>
    </row>
    <row r="11" spans="1:10" ht="23.25">
      <c r="A11" s="15">
        <v>5</v>
      </c>
      <c r="B11" s="16" t="s">
        <v>38</v>
      </c>
      <c r="C11" s="98">
        <v>795</v>
      </c>
      <c r="D11" s="99">
        <v>4248.32</v>
      </c>
      <c r="E11" s="100">
        <f t="shared" si="0"/>
        <v>5.885775864786093</v>
      </c>
      <c r="F11" s="103">
        <v>794</v>
      </c>
      <c r="G11" s="104">
        <v>4039.79</v>
      </c>
      <c r="H11" s="100">
        <v>5.681842155733211</v>
      </c>
      <c r="I11" s="101">
        <f t="shared" si="1"/>
        <v>208.52999999999975</v>
      </c>
      <c r="J11" s="101">
        <f t="shared" si="2"/>
        <v>5.161901980053412</v>
      </c>
    </row>
    <row r="12" spans="1:10" ht="23.25">
      <c r="A12" s="15">
        <v>6</v>
      </c>
      <c r="B12" s="16" t="s">
        <v>24</v>
      </c>
      <c r="C12" s="98">
        <v>18</v>
      </c>
      <c r="D12" s="99">
        <v>2783.88</v>
      </c>
      <c r="E12" s="100">
        <f t="shared" si="0"/>
        <v>3.856887832004348</v>
      </c>
      <c r="F12" s="98">
        <v>16</v>
      </c>
      <c r="G12" s="99">
        <v>2645.054</v>
      </c>
      <c r="H12" s="100">
        <v>3.7201882576546685</v>
      </c>
      <c r="I12" s="101">
        <f t="shared" si="1"/>
        <v>138.82600000000002</v>
      </c>
      <c r="J12" s="101">
        <f t="shared" si="2"/>
        <v>5.248512884803109</v>
      </c>
    </row>
    <row r="13" spans="1:10" ht="23.25">
      <c r="A13" s="15">
        <v>7</v>
      </c>
      <c r="B13" s="23" t="s">
        <v>29</v>
      </c>
      <c r="C13" s="106">
        <v>3</v>
      </c>
      <c r="D13" s="107">
        <v>1754.07</v>
      </c>
      <c r="E13" s="100">
        <f t="shared" si="0"/>
        <v>2.430151888545435</v>
      </c>
      <c r="F13" s="106">
        <v>3</v>
      </c>
      <c r="G13" s="107">
        <v>1769.83</v>
      </c>
      <c r="H13" s="100">
        <v>2.4892122368938256</v>
      </c>
      <c r="I13" s="101">
        <f t="shared" si="1"/>
        <v>-15.759999999999991</v>
      </c>
      <c r="J13" s="101">
        <f t="shared" si="2"/>
        <v>-0.8904810066503557</v>
      </c>
    </row>
    <row r="14" spans="1:10" ht="23.25">
      <c r="A14" s="15">
        <v>8</v>
      </c>
      <c r="B14" s="23" t="s">
        <v>15</v>
      </c>
      <c r="C14" s="98">
        <v>270</v>
      </c>
      <c r="D14" s="99">
        <v>1368.64</v>
      </c>
      <c r="E14" s="100">
        <f t="shared" si="0"/>
        <v>1.8961632550233598</v>
      </c>
      <c r="F14" s="108">
        <v>270</v>
      </c>
      <c r="G14" s="109">
        <v>1377.071</v>
      </c>
      <c r="H14" s="100">
        <v>1.9368086111500074</v>
      </c>
      <c r="I14" s="101">
        <f t="shared" si="1"/>
        <v>-8.430999999999813</v>
      </c>
      <c r="J14" s="101">
        <f t="shared" si="2"/>
        <v>-0.6122414893640061</v>
      </c>
    </row>
    <row r="15" spans="1:10" ht="23.25">
      <c r="A15" s="15">
        <v>9</v>
      </c>
      <c r="B15" s="16" t="s">
        <v>13</v>
      </c>
      <c r="C15" s="98">
        <v>16</v>
      </c>
      <c r="D15" s="99">
        <v>913.27</v>
      </c>
      <c r="E15" s="100">
        <f t="shared" si="0"/>
        <v>1.265277221121101</v>
      </c>
      <c r="F15" s="103">
        <v>15</v>
      </c>
      <c r="G15" s="104">
        <v>875.66</v>
      </c>
      <c r="H15" s="100">
        <v>1.231589241542096</v>
      </c>
      <c r="I15" s="101">
        <f t="shared" si="1"/>
        <v>37.610000000000014</v>
      </c>
      <c r="J15" s="101">
        <f t="shared" si="2"/>
        <v>4.295046022428798</v>
      </c>
    </row>
    <row r="16" spans="1:10" ht="23.25">
      <c r="A16" s="15">
        <v>10</v>
      </c>
      <c r="B16" s="16" t="s">
        <v>19</v>
      </c>
      <c r="C16" s="106">
        <v>1</v>
      </c>
      <c r="D16" s="107">
        <v>754.87</v>
      </c>
      <c r="E16" s="100">
        <f t="shared" si="0"/>
        <v>1.0458241439089049</v>
      </c>
      <c r="F16" s="98">
        <v>1</v>
      </c>
      <c r="G16" s="99">
        <v>661.86</v>
      </c>
      <c r="H16" s="100">
        <v>0.9308860235788452</v>
      </c>
      <c r="I16" s="101">
        <f t="shared" si="1"/>
        <v>93.00999999999999</v>
      </c>
      <c r="J16" s="101">
        <f t="shared" si="2"/>
        <v>14.052820838243735</v>
      </c>
    </row>
    <row r="17" spans="1:10" ht="23.25">
      <c r="A17" s="15">
        <v>11</v>
      </c>
      <c r="B17" s="16" t="s">
        <v>26</v>
      </c>
      <c r="C17" s="98">
        <v>2</v>
      </c>
      <c r="D17" s="110">
        <v>707.67</v>
      </c>
      <c r="E17" s="100">
        <f t="shared" si="0"/>
        <v>0.9804315602951694</v>
      </c>
      <c r="F17" s="98">
        <v>2</v>
      </c>
      <c r="G17" s="110">
        <v>646.61</v>
      </c>
      <c r="H17" s="100">
        <v>0.909437360931794</v>
      </c>
      <c r="I17" s="101">
        <f>(D17-G17)</f>
        <v>61.059999999999945</v>
      </c>
      <c r="J17" s="101">
        <f>(D17-G17)/G17*100</f>
        <v>9.443095528989645</v>
      </c>
    </row>
    <row r="18" spans="1:10" ht="23.25">
      <c r="A18" s="15">
        <v>12</v>
      </c>
      <c r="B18" s="16" t="s">
        <v>20</v>
      </c>
      <c r="C18" s="98">
        <v>2</v>
      </c>
      <c r="D18" s="110">
        <v>624.27</v>
      </c>
      <c r="E18" s="100">
        <f t="shared" si="0"/>
        <v>0.8648861900963238</v>
      </c>
      <c r="F18" s="106">
        <v>2</v>
      </c>
      <c r="G18" s="107">
        <v>621.373</v>
      </c>
      <c r="H18" s="100">
        <v>0.873942285572867</v>
      </c>
      <c r="I18" s="101">
        <f t="shared" si="1"/>
        <v>2.8969999999999345</v>
      </c>
      <c r="J18" s="101">
        <f t="shared" si="2"/>
        <v>0.4662256004042554</v>
      </c>
    </row>
    <row r="19" spans="1:10" ht="23.25">
      <c r="A19" s="15">
        <v>13</v>
      </c>
      <c r="B19" s="16" t="s">
        <v>25</v>
      </c>
      <c r="C19" s="98">
        <v>58</v>
      </c>
      <c r="D19" s="110">
        <v>522.68</v>
      </c>
      <c r="E19" s="100">
        <f t="shared" si="0"/>
        <v>0.7241397373565068</v>
      </c>
      <c r="F19" s="98">
        <v>56</v>
      </c>
      <c r="G19" s="110">
        <v>499.23</v>
      </c>
      <c r="H19" s="100">
        <v>0.7021518592319629</v>
      </c>
      <c r="I19" s="101">
        <f t="shared" si="1"/>
        <v>23.449999999999932</v>
      </c>
      <c r="J19" s="101">
        <f t="shared" si="2"/>
        <v>4.6972337399595245</v>
      </c>
    </row>
    <row r="20" spans="1:10" ht="23.25">
      <c r="A20" s="15">
        <v>14</v>
      </c>
      <c r="B20" s="16" t="s">
        <v>28</v>
      </c>
      <c r="C20" s="98">
        <v>2</v>
      </c>
      <c r="D20" s="110">
        <v>372.34</v>
      </c>
      <c r="E20" s="100">
        <f t="shared" si="0"/>
        <v>0.5158532750580122</v>
      </c>
      <c r="F20" s="98">
        <v>2</v>
      </c>
      <c r="G20" s="110">
        <v>402.14</v>
      </c>
      <c r="H20" s="100">
        <v>0.565597717828539</v>
      </c>
      <c r="I20" s="101">
        <f t="shared" si="1"/>
        <v>-29.80000000000001</v>
      </c>
      <c r="J20" s="101">
        <f t="shared" si="2"/>
        <v>-7.410354602874623</v>
      </c>
    </row>
    <row r="21" spans="1:10" ht="23.25">
      <c r="A21" s="15">
        <v>15</v>
      </c>
      <c r="B21" s="16" t="s">
        <v>42</v>
      </c>
      <c r="C21" s="98">
        <v>3</v>
      </c>
      <c r="D21" s="110">
        <v>65.895</v>
      </c>
      <c r="E21" s="100">
        <f t="shared" si="0"/>
        <v>0.09129331138192971</v>
      </c>
      <c r="F21" s="98">
        <v>3</v>
      </c>
      <c r="G21" s="110">
        <v>65.69</v>
      </c>
      <c r="H21" s="100">
        <v>0.09239099339572468</v>
      </c>
      <c r="I21" s="101">
        <f t="shared" si="1"/>
        <v>0.2049999999999983</v>
      </c>
      <c r="J21" s="101">
        <f t="shared" si="2"/>
        <v>0.3120718526411909</v>
      </c>
    </row>
    <row r="22" spans="1:10" ht="23.25">
      <c r="A22" s="15">
        <v>16</v>
      </c>
      <c r="B22" s="16" t="s">
        <v>27</v>
      </c>
      <c r="C22" s="98">
        <v>2</v>
      </c>
      <c r="D22" s="110">
        <v>14.234</v>
      </c>
      <c r="E22" s="100">
        <f t="shared" si="0"/>
        <v>0.019720297355040405</v>
      </c>
      <c r="F22" s="103">
        <v>2</v>
      </c>
      <c r="G22" s="111">
        <v>11.782</v>
      </c>
      <c r="H22" s="100">
        <v>0.016571025790659586</v>
      </c>
      <c r="I22" s="101">
        <f t="shared" si="1"/>
        <v>2.452</v>
      </c>
      <c r="J22" s="101">
        <f t="shared" si="2"/>
        <v>20.811407231369884</v>
      </c>
    </row>
    <row r="23" spans="1:10" ht="23.25">
      <c r="A23" s="15">
        <v>17</v>
      </c>
      <c r="B23" s="16" t="s">
        <v>43</v>
      </c>
      <c r="C23" s="98"/>
      <c r="D23" s="110"/>
      <c r="E23" s="100"/>
      <c r="F23" s="98"/>
      <c r="G23" s="110"/>
      <c r="H23" s="100"/>
      <c r="I23" s="101">
        <f t="shared" si="1"/>
        <v>0</v>
      </c>
      <c r="J23" s="101">
        <v>0</v>
      </c>
    </row>
    <row r="24" spans="1:10" ht="24" thickBot="1">
      <c r="A24" s="28">
        <v>18</v>
      </c>
      <c r="B24" s="29" t="s">
        <v>18</v>
      </c>
      <c r="C24" s="98"/>
      <c r="D24" s="110"/>
      <c r="E24" s="100"/>
      <c r="F24" s="106"/>
      <c r="G24" s="112"/>
      <c r="H24" s="100"/>
      <c r="I24" s="101">
        <f t="shared" si="1"/>
        <v>0</v>
      </c>
      <c r="J24" s="101">
        <v>0</v>
      </c>
    </row>
    <row r="25" spans="1:11" ht="24" thickBot="1">
      <c r="A25" s="47" t="s">
        <v>31</v>
      </c>
      <c r="B25" s="48"/>
      <c r="C25" s="113">
        <f aca="true" t="shared" si="3" ref="C25:I25">SUM(C7:C24)</f>
        <v>1406</v>
      </c>
      <c r="D25" s="114">
        <f t="shared" si="3"/>
        <v>72179.43899999998</v>
      </c>
      <c r="E25" s="115">
        <f t="shared" si="3"/>
        <v>100</v>
      </c>
      <c r="F25" s="113">
        <f t="shared" si="3"/>
        <v>1402</v>
      </c>
      <c r="G25" s="114">
        <f t="shared" si="3"/>
        <v>71100.00400000002</v>
      </c>
      <c r="H25" s="115">
        <f t="shared" si="3"/>
        <v>99.99999999999996</v>
      </c>
      <c r="I25" s="116">
        <f t="shared" si="3"/>
        <v>1079.4349999999981</v>
      </c>
      <c r="J25" s="116">
        <f>(D25-G25)/G25*100</f>
        <v>1.5181926009455193</v>
      </c>
      <c r="K25" s="31"/>
    </row>
    <row r="26" spans="1:11" ht="23.25">
      <c r="A26" s="36"/>
      <c r="B26" s="43" t="s">
        <v>32</v>
      </c>
      <c r="C26" s="117"/>
      <c r="D26" s="118"/>
      <c r="E26" s="40"/>
      <c r="F26" s="117"/>
      <c r="G26" s="118"/>
      <c r="H26" s="44" t="s">
        <v>33</v>
      </c>
      <c r="I26" s="119"/>
      <c r="J26" s="42"/>
      <c r="K26" s="31"/>
    </row>
    <row r="27" spans="2:10" ht="21">
      <c r="B27" s="46" t="s">
        <v>50</v>
      </c>
      <c r="H27" s="44" t="s">
        <v>35</v>
      </c>
      <c r="J27" s="45"/>
    </row>
    <row r="28" spans="8:10" ht="21">
      <c r="H28" s="44"/>
      <c r="J28" s="45"/>
    </row>
  </sheetData>
  <sheetProtection/>
  <mergeCells count="6">
    <mergeCell ref="A1:J1"/>
    <mergeCell ref="A2:J2"/>
    <mergeCell ref="C4:E4"/>
    <mergeCell ref="F4:H4"/>
    <mergeCell ref="I4:J4"/>
    <mergeCell ref="A25:B2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M7" sqref="M7"/>
    </sheetView>
  </sheetViews>
  <sheetFormatPr defaultColWidth="9.140625" defaultRowHeight="21.75"/>
  <cols>
    <col min="1" max="1" width="5.8515625" style="1" customWidth="1"/>
    <col min="2" max="2" width="47.28125" style="46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3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3.25">
      <c r="A2" s="90" t="s">
        <v>51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2" customHeight="1" thickBot="1">
      <c r="A3" s="2"/>
      <c r="B3" s="91"/>
      <c r="C3" s="3"/>
      <c r="D3" s="2"/>
      <c r="E3" s="2"/>
      <c r="F3" s="3"/>
      <c r="G3" s="3"/>
      <c r="H3" s="3"/>
      <c r="I3" s="2"/>
      <c r="J3" s="2"/>
    </row>
    <row r="4" spans="1:10" ht="22.5" customHeight="1" thickBot="1">
      <c r="A4" s="4"/>
      <c r="B4" s="92"/>
      <c r="C4" s="53" t="s">
        <v>52</v>
      </c>
      <c r="D4" s="51"/>
      <c r="E4" s="52"/>
      <c r="F4" s="53" t="s">
        <v>49</v>
      </c>
      <c r="G4" s="51"/>
      <c r="H4" s="52"/>
      <c r="I4" s="54" t="s">
        <v>4</v>
      </c>
      <c r="J4" s="52"/>
    </row>
    <row r="5" spans="1:10" ht="23.25">
      <c r="A5" s="5" t="s">
        <v>5</v>
      </c>
      <c r="B5" s="93" t="s">
        <v>6</v>
      </c>
      <c r="C5" s="6" t="s">
        <v>7</v>
      </c>
      <c r="D5" s="7" t="s">
        <v>8</v>
      </c>
      <c r="E5" s="8" t="s">
        <v>9</v>
      </c>
      <c r="F5" s="6" t="s">
        <v>7</v>
      </c>
      <c r="G5" s="7" t="s">
        <v>8</v>
      </c>
      <c r="H5" s="8" t="s">
        <v>9</v>
      </c>
      <c r="I5" s="9" t="s">
        <v>8</v>
      </c>
      <c r="J5" s="8" t="s">
        <v>10</v>
      </c>
    </row>
    <row r="6" spans="1:10" ht="24" thickBot="1">
      <c r="A6" s="10"/>
      <c r="B6" s="94"/>
      <c r="C6" s="11" t="s">
        <v>11</v>
      </c>
      <c r="D6" s="12" t="s">
        <v>12</v>
      </c>
      <c r="E6" s="13"/>
      <c r="F6" s="11" t="s">
        <v>11</v>
      </c>
      <c r="G6" s="12" t="s">
        <v>12</v>
      </c>
      <c r="H6" s="13"/>
      <c r="I6" s="14" t="s">
        <v>12</v>
      </c>
      <c r="J6" s="13"/>
    </row>
    <row r="7" spans="1:10" ht="23.25">
      <c r="A7" s="15">
        <v>1</v>
      </c>
      <c r="B7" s="16" t="s">
        <v>22</v>
      </c>
      <c r="C7" s="71">
        <v>161</v>
      </c>
      <c r="D7" s="72">
        <v>32970.35</v>
      </c>
      <c r="E7" s="73">
        <f aca="true" t="shared" si="0" ref="E7:E22">(D7/$D$25)*100</f>
        <v>45.86011492030551</v>
      </c>
      <c r="F7" s="71">
        <v>161</v>
      </c>
      <c r="G7" s="72">
        <v>33264.84</v>
      </c>
      <c r="H7" s="73">
        <f aca="true" t="shared" si="1" ref="H7:H22">(G7/$G$25)*100</f>
        <v>46.08630998087974</v>
      </c>
      <c r="I7" s="74">
        <f>(D7-G7)</f>
        <v>-294.48999999999796</v>
      </c>
      <c r="J7" s="75">
        <f>(D7-G7)/G7*100</f>
        <v>-0.8852890920262896</v>
      </c>
    </row>
    <row r="8" spans="1:10" ht="23.25">
      <c r="A8" s="15">
        <v>2</v>
      </c>
      <c r="B8" s="16" t="s">
        <v>14</v>
      </c>
      <c r="C8" s="71">
        <v>32</v>
      </c>
      <c r="D8" s="72">
        <v>12045.02</v>
      </c>
      <c r="E8" s="73">
        <f t="shared" si="0"/>
        <v>16.754022975715404</v>
      </c>
      <c r="F8" s="71">
        <v>32</v>
      </c>
      <c r="G8" s="72">
        <v>12019.96</v>
      </c>
      <c r="H8" s="73">
        <f t="shared" si="1"/>
        <v>16.652886426562556</v>
      </c>
      <c r="I8" s="74">
        <f aca="true" t="shared" si="2" ref="I8:I24">(D8-G8)</f>
        <v>25.06000000000131</v>
      </c>
      <c r="J8" s="78">
        <f aca="true" t="shared" si="3" ref="J8:J22">(D8-G8)/G8*100</f>
        <v>0.20848655070400662</v>
      </c>
    </row>
    <row r="9" spans="1:10" ht="23.25">
      <c r="A9" s="15">
        <v>3</v>
      </c>
      <c r="B9" s="16" t="s">
        <v>30</v>
      </c>
      <c r="C9" s="71">
        <v>39</v>
      </c>
      <c r="D9" s="72">
        <v>6909.2</v>
      </c>
      <c r="E9" s="73">
        <f t="shared" si="0"/>
        <v>9.610353120527227</v>
      </c>
      <c r="F9" s="71">
        <v>39</v>
      </c>
      <c r="G9" s="72">
        <v>6901.56</v>
      </c>
      <c r="H9" s="73">
        <f t="shared" si="1"/>
        <v>9.56167032553412</v>
      </c>
      <c r="I9" s="74">
        <f t="shared" si="2"/>
        <v>7.639999999999418</v>
      </c>
      <c r="J9" s="74">
        <f t="shared" si="3"/>
        <v>0.11069960994325076</v>
      </c>
    </row>
    <row r="10" spans="1:10" ht="23.25">
      <c r="A10" s="15">
        <v>4</v>
      </c>
      <c r="B10" s="16" t="s">
        <v>21</v>
      </c>
      <c r="C10" s="71">
        <v>2</v>
      </c>
      <c r="D10" s="72">
        <v>5870.02</v>
      </c>
      <c r="E10" s="73">
        <f t="shared" si="0"/>
        <v>8.164905491888677</v>
      </c>
      <c r="F10" s="71">
        <v>2</v>
      </c>
      <c r="G10" s="72">
        <v>5862.94</v>
      </c>
      <c r="H10" s="73">
        <f t="shared" si="1"/>
        <v>8.122728690091371</v>
      </c>
      <c r="I10" s="74">
        <f t="shared" si="2"/>
        <v>7.080000000000837</v>
      </c>
      <c r="J10" s="74">
        <f t="shared" si="3"/>
        <v>0.12075852729178256</v>
      </c>
    </row>
    <row r="11" spans="1:10" ht="23.25">
      <c r="A11" s="15">
        <v>5</v>
      </c>
      <c r="B11" s="16" t="s">
        <v>38</v>
      </c>
      <c r="C11" s="71">
        <v>791</v>
      </c>
      <c r="D11" s="72">
        <v>4131</v>
      </c>
      <c r="E11" s="73">
        <f t="shared" si="0"/>
        <v>5.746015275415095</v>
      </c>
      <c r="F11" s="71">
        <v>795</v>
      </c>
      <c r="G11" s="72">
        <v>4248.32</v>
      </c>
      <c r="H11" s="73">
        <f t="shared" si="1"/>
        <v>5.885775864786093</v>
      </c>
      <c r="I11" s="74">
        <f t="shared" si="2"/>
        <v>-117.31999999999971</v>
      </c>
      <c r="J11" s="74">
        <f t="shared" si="3"/>
        <v>-2.7615622175353955</v>
      </c>
    </row>
    <row r="12" spans="1:10" ht="23.25">
      <c r="A12" s="15">
        <v>6</v>
      </c>
      <c r="B12" s="16" t="s">
        <v>24</v>
      </c>
      <c r="C12" s="71">
        <v>18</v>
      </c>
      <c r="D12" s="72">
        <v>2782.07</v>
      </c>
      <c r="E12" s="73">
        <f t="shared" si="0"/>
        <v>3.8697208223853967</v>
      </c>
      <c r="F12" s="71">
        <v>18</v>
      </c>
      <c r="G12" s="72">
        <v>2783.88</v>
      </c>
      <c r="H12" s="73">
        <f t="shared" si="1"/>
        <v>3.856887832004348</v>
      </c>
      <c r="I12" s="74">
        <f t="shared" si="2"/>
        <v>-1.8099999999999454</v>
      </c>
      <c r="J12" s="74">
        <f t="shared" si="3"/>
        <v>-0.06501717028032622</v>
      </c>
    </row>
    <row r="13" spans="1:10" ht="23.25">
      <c r="A13" s="15">
        <v>7</v>
      </c>
      <c r="B13" s="23" t="s">
        <v>29</v>
      </c>
      <c r="C13" s="79">
        <v>6</v>
      </c>
      <c r="D13" s="80">
        <v>1778.91</v>
      </c>
      <c r="E13" s="73">
        <f t="shared" si="0"/>
        <v>2.4743752199440006</v>
      </c>
      <c r="F13" s="79">
        <v>3</v>
      </c>
      <c r="G13" s="80">
        <v>1754.07</v>
      </c>
      <c r="H13" s="73">
        <f t="shared" si="1"/>
        <v>2.430151888545435</v>
      </c>
      <c r="I13" s="74">
        <f t="shared" si="2"/>
        <v>24.840000000000146</v>
      </c>
      <c r="J13" s="74">
        <f t="shared" si="3"/>
        <v>1.4161350459217787</v>
      </c>
    </row>
    <row r="14" spans="1:10" ht="23.25">
      <c r="A14" s="15">
        <v>8</v>
      </c>
      <c r="B14" s="23" t="s">
        <v>15</v>
      </c>
      <c r="C14" s="71">
        <v>270</v>
      </c>
      <c r="D14" s="72">
        <v>1435.35</v>
      </c>
      <c r="E14" s="73">
        <f t="shared" si="0"/>
        <v>1.9965003692972783</v>
      </c>
      <c r="F14" s="71">
        <v>270</v>
      </c>
      <c r="G14" s="72">
        <v>1368.64</v>
      </c>
      <c r="H14" s="73">
        <f t="shared" si="1"/>
        <v>1.8961632550233598</v>
      </c>
      <c r="I14" s="74">
        <f t="shared" si="2"/>
        <v>66.70999999999981</v>
      </c>
      <c r="J14" s="74">
        <f t="shared" si="3"/>
        <v>4.874181669394421</v>
      </c>
    </row>
    <row r="15" spans="1:10" ht="23.25">
      <c r="A15" s="15">
        <v>9</v>
      </c>
      <c r="B15" s="16" t="s">
        <v>13</v>
      </c>
      <c r="C15" s="71">
        <v>17</v>
      </c>
      <c r="D15" s="72">
        <v>942.05</v>
      </c>
      <c r="E15" s="73">
        <f t="shared" si="0"/>
        <v>1.310344635731007</v>
      </c>
      <c r="F15" s="71">
        <v>16</v>
      </c>
      <c r="G15" s="72">
        <v>913.27</v>
      </c>
      <c r="H15" s="73">
        <f t="shared" si="1"/>
        <v>1.265277221121101</v>
      </c>
      <c r="I15" s="74">
        <f t="shared" si="2"/>
        <v>28.779999999999973</v>
      </c>
      <c r="J15" s="74">
        <f t="shared" si="3"/>
        <v>3.151313412243912</v>
      </c>
    </row>
    <row r="16" spans="1:10" ht="23.25">
      <c r="A16" s="15">
        <v>10</v>
      </c>
      <c r="B16" s="16" t="s">
        <v>19</v>
      </c>
      <c r="C16" s="79">
        <v>1</v>
      </c>
      <c r="D16" s="80">
        <v>803.28</v>
      </c>
      <c r="E16" s="73">
        <f t="shared" si="0"/>
        <v>1.1173224765033738</v>
      </c>
      <c r="F16" s="79">
        <v>1</v>
      </c>
      <c r="G16" s="80">
        <v>754.87</v>
      </c>
      <c r="H16" s="73">
        <f t="shared" si="1"/>
        <v>1.0458241439089049</v>
      </c>
      <c r="I16" s="74">
        <f t="shared" si="2"/>
        <v>48.40999999999997</v>
      </c>
      <c r="J16" s="74">
        <f t="shared" si="3"/>
        <v>6.413024759230061</v>
      </c>
    </row>
    <row r="17" spans="1:10" ht="23.25">
      <c r="A17" s="15">
        <v>11</v>
      </c>
      <c r="B17" s="16" t="s">
        <v>26</v>
      </c>
      <c r="C17" s="71">
        <v>2</v>
      </c>
      <c r="D17" s="83">
        <v>639.11</v>
      </c>
      <c r="E17" s="73">
        <f t="shared" si="0"/>
        <v>0.8889701822005668</v>
      </c>
      <c r="F17" s="71">
        <v>2</v>
      </c>
      <c r="G17" s="83">
        <v>707.67</v>
      </c>
      <c r="H17" s="73">
        <f t="shared" si="1"/>
        <v>0.9804315602951694</v>
      </c>
      <c r="I17" s="74">
        <f>(D17-G17)</f>
        <v>-68.55999999999995</v>
      </c>
      <c r="J17" s="74">
        <f>(D17-G17)/G17*100</f>
        <v>-9.688131473709491</v>
      </c>
    </row>
    <row r="18" spans="1:10" ht="23.25">
      <c r="A18" s="15">
        <v>12</v>
      </c>
      <c r="B18" s="16" t="s">
        <v>20</v>
      </c>
      <c r="C18" s="71">
        <v>2</v>
      </c>
      <c r="D18" s="83">
        <v>628.09</v>
      </c>
      <c r="E18" s="73">
        <f t="shared" si="0"/>
        <v>0.8736419109986607</v>
      </c>
      <c r="F18" s="71">
        <v>2</v>
      </c>
      <c r="G18" s="83">
        <v>624.27</v>
      </c>
      <c r="H18" s="73">
        <f t="shared" si="1"/>
        <v>0.8648861900963238</v>
      </c>
      <c r="I18" s="74">
        <f t="shared" si="2"/>
        <v>3.82000000000005</v>
      </c>
      <c r="J18" s="74">
        <f t="shared" si="3"/>
        <v>0.6119147163887501</v>
      </c>
    </row>
    <row r="19" spans="1:10" ht="23.25">
      <c r="A19" s="15">
        <v>13</v>
      </c>
      <c r="B19" s="16" t="s">
        <v>25</v>
      </c>
      <c r="C19" s="71">
        <v>58</v>
      </c>
      <c r="D19" s="83">
        <v>524.3</v>
      </c>
      <c r="E19" s="73">
        <f t="shared" si="0"/>
        <v>0.7292751897603811</v>
      </c>
      <c r="F19" s="71">
        <v>58</v>
      </c>
      <c r="G19" s="83">
        <v>522.68</v>
      </c>
      <c r="H19" s="73">
        <f t="shared" si="1"/>
        <v>0.7241397373565068</v>
      </c>
      <c r="I19" s="74">
        <f t="shared" si="2"/>
        <v>1.6200000000000045</v>
      </c>
      <c r="J19" s="74">
        <f t="shared" si="3"/>
        <v>0.3099410729318139</v>
      </c>
    </row>
    <row r="20" spans="1:10" ht="23.25">
      <c r="A20" s="15">
        <v>14</v>
      </c>
      <c r="B20" s="16" t="s">
        <v>28</v>
      </c>
      <c r="C20" s="71">
        <v>2</v>
      </c>
      <c r="D20" s="83">
        <v>356.54</v>
      </c>
      <c r="E20" s="73">
        <f t="shared" si="0"/>
        <v>0.4959293842402562</v>
      </c>
      <c r="F20" s="71">
        <v>2</v>
      </c>
      <c r="G20" s="83">
        <v>372.34</v>
      </c>
      <c r="H20" s="73">
        <f t="shared" si="1"/>
        <v>0.5158532750580122</v>
      </c>
      <c r="I20" s="74">
        <f t="shared" si="2"/>
        <v>-15.799999999999955</v>
      </c>
      <c r="J20" s="74">
        <f t="shared" si="3"/>
        <v>-4.243433421066755</v>
      </c>
    </row>
    <row r="21" spans="1:10" ht="23.25">
      <c r="A21" s="15">
        <v>15</v>
      </c>
      <c r="B21" s="16" t="s">
        <v>42</v>
      </c>
      <c r="C21" s="71">
        <v>3</v>
      </c>
      <c r="D21" s="83">
        <v>66.12</v>
      </c>
      <c r="E21" s="73">
        <f t="shared" si="0"/>
        <v>0.09196962721143696</v>
      </c>
      <c r="F21" s="71">
        <v>3</v>
      </c>
      <c r="G21" s="83">
        <v>65.895</v>
      </c>
      <c r="H21" s="73">
        <f t="shared" si="1"/>
        <v>0.09129331138192971</v>
      </c>
      <c r="I21" s="74">
        <f t="shared" si="2"/>
        <v>0.22500000000000853</v>
      </c>
      <c r="J21" s="74">
        <f t="shared" si="3"/>
        <v>0.34145231049398067</v>
      </c>
    </row>
    <row r="22" spans="1:10" ht="23.25">
      <c r="A22" s="15">
        <v>16</v>
      </c>
      <c r="B22" s="16" t="s">
        <v>27</v>
      </c>
      <c r="C22" s="71">
        <v>2</v>
      </c>
      <c r="D22" s="83">
        <v>11.89</v>
      </c>
      <c r="E22" s="73">
        <f t="shared" si="0"/>
        <v>0.016538397875740858</v>
      </c>
      <c r="F22" s="71">
        <v>2</v>
      </c>
      <c r="G22" s="83">
        <v>14.234</v>
      </c>
      <c r="H22" s="73">
        <f t="shared" si="1"/>
        <v>0.019720297355040405</v>
      </c>
      <c r="I22" s="74">
        <f t="shared" si="2"/>
        <v>-2.3439999999999994</v>
      </c>
      <c r="J22" s="74">
        <f t="shared" si="3"/>
        <v>-16.467612758184625</v>
      </c>
    </row>
    <row r="23" spans="1:10" ht="23.25">
      <c r="A23" s="15">
        <v>17</v>
      </c>
      <c r="B23" s="16" t="s">
        <v>43</v>
      </c>
      <c r="C23" s="71"/>
      <c r="D23" s="83"/>
      <c r="E23" s="73"/>
      <c r="F23" s="71"/>
      <c r="G23" s="83"/>
      <c r="H23" s="73"/>
      <c r="I23" s="74">
        <f t="shared" si="2"/>
        <v>0</v>
      </c>
      <c r="J23" s="74">
        <v>0</v>
      </c>
    </row>
    <row r="24" spans="1:10" ht="24" thickBot="1">
      <c r="A24" s="28">
        <v>18</v>
      </c>
      <c r="B24" s="29" t="s">
        <v>53</v>
      </c>
      <c r="C24" s="71"/>
      <c r="D24" s="83"/>
      <c r="E24" s="73"/>
      <c r="F24" s="71"/>
      <c r="G24" s="83"/>
      <c r="H24" s="73"/>
      <c r="I24" s="74">
        <f t="shared" si="2"/>
        <v>0</v>
      </c>
      <c r="J24" s="74">
        <v>0</v>
      </c>
    </row>
    <row r="25" spans="1:11" ht="24" thickBot="1">
      <c r="A25" s="47" t="s">
        <v>31</v>
      </c>
      <c r="B25" s="48"/>
      <c r="C25" s="86">
        <f aca="true" t="shared" si="4" ref="C25:I25">SUM(C7:C24)</f>
        <v>1406</v>
      </c>
      <c r="D25" s="87">
        <f t="shared" si="4"/>
        <v>71893.29999999999</v>
      </c>
      <c r="E25" s="88">
        <f t="shared" si="4"/>
        <v>100.00000000000001</v>
      </c>
      <c r="F25" s="86">
        <f t="shared" si="4"/>
        <v>1406</v>
      </c>
      <c r="G25" s="87">
        <f t="shared" si="4"/>
        <v>72179.43899999998</v>
      </c>
      <c r="H25" s="88">
        <f t="shared" si="4"/>
        <v>100</v>
      </c>
      <c r="I25" s="89">
        <f t="shared" si="4"/>
        <v>-286.138999999996</v>
      </c>
      <c r="J25" s="89">
        <f>(D25-G25)/G25*100</f>
        <v>-0.396427298361235</v>
      </c>
      <c r="K25" s="31"/>
    </row>
    <row r="26" spans="1:11" ht="23.25">
      <c r="A26" s="36"/>
      <c r="B26" s="43" t="s">
        <v>54</v>
      </c>
      <c r="C26" s="95"/>
      <c r="D26" s="96"/>
      <c r="E26" s="40"/>
      <c r="F26" s="95"/>
      <c r="G26" s="96"/>
      <c r="H26" s="44" t="s">
        <v>33</v>
      </c>
      <c r="I26" s="97"/>
      <c r="J26" s="42"/>
      <c r="K26" s="31"/>
    </row>
    <row r="27" spans="2:10" ht="21">
      <c r="B27" s="46" t="s">
        <v>55</v>
      </c>
      <c r="H27" s="44" t="s">
        <v>35</v>
      </c>
      <c r="J27" s="45"/>
    </row>
    <row r="28" spans="8:10" ht="21">
      <c r="H28" s="44"/>
      <c r="J28" s="45"/>
    </row>
  </sheetData>
  <sheetProtection/>
  <mergeCells count="6">
    <mergeCell ref="A1:J1"/>
    <mergeCell ref="A2:J2"/>
    <mergeCell ref="C4:E4"/>
    <mergeCell ref="F4:H4"/>
    <mergeCell ref="I4:J4"/>
    <mergeCell ref="A25:B25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L11" sqref="L11"/>
    </sheetView>
  </sheetViews>
  <sheetFormatPr defaultColWidth="9.140625" defaultRowHeight="21.75"/>
  <cols>
    <col min="1" max="1" width="6.7109375" style="1" customWidth="1"/>
    <col min="2" max="2" width="48.421875" style="46" customWidth="1"/>
    <col min="3" max="3" width="10.28125" style="1" customWidth="1"/>
    <col min="4" max="4" width="16.00390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10.8515625" style="1" customWidth="1"/>
    <col min="11" max="11" width="9.140625" style="1" customWidth="1"/>
    <col min="12" max="12" width="17.7109375" style="121" customWidth="1"/>
    <col min="13" max="13" width="11.421875" style="1" customWidth="1"/>
    <col min="14" max="14" width="16.28125" style="1" customWidth="1"/>
    <col min="15" max="16384" width="9.140625" style="1" customWidth="1"/>
  </cols>
  <sheetData>
    <row r="1" spans="1:10" ht="23.25">
      <c r="A1" s="9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3.25">
      <c r="A2" s="90" t="s">
        <v>56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5.25" customHeight="1" thickBot="1">
      <c r="A3" s="2"/>
      <c r="B3" s="91"/>
      <c r="C3" s="3"/>
      <c r="D3" s="2"/>
      <c r="E3" s="2"/>
      <c r="F3" s="3"/>
      <c r="G3" s="3"/>
      <c r="H3" s="3"/>
      <c r="I3" s="2"/>
      <c r="J3" s="2"/>
    </row>
    <row r="4" spans="1:10" ht="22.5" customHeight="1" thickBot="1">
      <c r="A4" s="4"/>
      <c r="B4" s="92"/>
      <c r="C4" s="53" t="s">
        <v>57</v>
      </c>
      <c r="D4" s="51"/>
      <c r="E4" s="52"/>
      <c r="F4" s="53" t="s">
        <v>52</v>
      </c>
      <c r="G4" s="51"/>
      <c r="H4" s="52"/>
      <c r="I4" s="54" t="s">
        <v>4</v>
      </c>
      <c r="J4" s="52"/>
    </row>
    <row r="5" spans="1:10" ht="23.25">
      <c r="A5" s="5" t="s">
        <v>5</v>
      </c>
      <c r="B5" s="93" t="s">
        <v>6</v>
      </c>
      <c r="C5" s="6" t="s">
        <v>7</v>
      </c>
      <c r="D5" s="7" t="s">
        <v>8</v>
      </c>
      <c r="E5" s="8" t="s">
        <v>9</v>
      </c>
      <c r="F5" s="6" t="s">
        <v>7</v>
      </c>
      <c r="G5" s="7" t="s">
        <v>8</v>
      </c>
      <c r="H5" s="8" t="s">
        <v>9</v>
      </c>
      <c r="I5" s="9" t="s">
        <v>8</v>
      </c>
      <c r="J5" s="8" t="s">
        <v>10</v>
      </c>
    </row>
    <row r="6" spans="1:10" ht="24" thickBot="1">
      <c r="A6" s="10"/>
      <c r="B6" s="94"/>
      <c r="C6" s="11" t="s">
        <v>11</v>
      </c>
      <c r="D6" s="12" t="s">
        <v>12</v>
      </c>
      <c r="E6" s="13"/>
      <c r="F6" s="11" t="s">
        <v>11</v>
      </c>
      <c r="G6" s="12" t="s">
        <v>12</v>
      </c>
      <c r="H6" s="13"/>
      <c r="I6" s="14" t="s">
        <v>12</v>
      </c>
      <c r="J6" s="13"/>
    </row>
    <row r="7" spans="1:18" ht="23.25">
      <c r="A7" s="15">
        <v>1</v>
      </c>
      <c r="B7" s="16" t="s">
        <v>22</v>
      </c>
      <c r="C7" s="71">
        <v>160</v>
      </c>
      <c r="D7" s="77">
        <v>31841.41654</v>
      </c>
      <c r="E7" s="73">
        <v>43.818419290316854</v>
      </c>
      <c r="F7" s="71">
        <v>161</v>
      </c>
      <c r="G7" s="72">
        <v>32970.35</v>
      </c>
      <c r="H7" s="73">
        <v>45.86011492030551</v>
      </c>
      <c r="I7" s="74">
        <v>-1128.9334600000002</v>
      </c>
      <c r="J7" s="122">
        <v>-3.4240869751155216</v>
      </c>
      <c r="L7" s="123"/>
      <c r="M7" s="121"/>
      <c r="N7" s="121"/>
      <c r="O7" s="121"/>
      <c r="P7" s="121"/>
      <c r="Q7" s="121"/>
      <c r="R7" s="121"/>
    </row>
    <row r="8" spans="1:18" ht="23.25">
      <c r="A8" s="15">
        <v>2</v>
      </c>
      <c r="B8" s="16" t="s">
        <v>14</v>
      </c>
      <c r="C8" s="76">
        <v>32</v>
      </c>
      <c r="D8" s="77">
        <v>12071.26093968</v>
      </c>
      <c r="E8" s="73">
        <v>16.611810361930665</v>
      </c>
      <c r="F8" s="71">
        <v>32</v>
      </c>
      <c r="G8" s="72">
        <v>12045.02</v>
      </c>
      <c r="H8" s="73">
        <v>16.754022975715404</v>
      </c>
      <c r="I8" s="74">
        <v>26.24093967999943</v>
      </c>
      <c r="J8" s="78">
        <v>0.21785716985110384</v>
      </c>
      <c r="M8" s="121"/>
      <c r="N8" s="121"/>
      <c r="O8" s="121"/>
      <c r="P8" s="121"/>
      <c r="Q8" s="121"/>
      <c r="R8" s="121"/>
    </row>
    <row r="9" spans="1:18" ht="23.25">
      <c r="A9" s="15">
        <v>3</v>
      </c>
      <c r="B9" s="16" t="s">
        <v>30</v>
      </c>
      <c r="C9" s="71">
        <v>40</v>
      </c>
      <c r="D9" s="77">
        <v>6965.78174</v>
      </c>
      <c r="E9" s="73">
        <v>9.585928584072752</v>
      </c>
      <c r="F9" s="71">
        <v>39</v>
      </c>
      <c r="G9" s="72">
        <v>6909.2</v>
      </c>
      <c r="H9" s="73">
        <v>9.610353120527227</v>
      </c>
      <c r="I9" s="74">
        <v>56.581740000000536</v>
      </c>
      <c r="J9" s="78">
        <v>0.8189333063162237</v>
      </c>
      <c r="M9" s="121"/>
      <c r="N9" s="121"/>
      <c r="O9" s="121"/>
      <c r="P9" s="121"/>
      <c r="Q9" s="121"/>
      <c r="R9" s="121"/>
    </row>
    <row r="10" spans="1:18" ht="23.25">
      <c r="A10" s="15">
        <v>4</v>
      </c>
      <c r="B10" s="16" t="s">
        <v>58</v>
      </c>
      <c r="C10" s="71">
        <v>2</v>
      </c>
      <c r="D10" s="77">
        <v>5857.56039842</v>
      </c>
      <c r="E10" s="73">
        <v>8.060854869125839</v>
      </c>
      <c r="F10" s="71">
        <v>2</v>
      </c>
      <c r="G10" s="72">
        <v>5870.02</v>
      </c>
      <c r="H10" s="73">
        <v>8.164905491888677</v>
      </c>
      <c r="I10" s="74">
        <v>-12.459601580000708</v>
      </c>
      <c r="J10" s="78">
        <v>-0.21225824750172412</v>
      </c>
      <c r="M10" s="121"/>
      <c r="N10" s="121"/>
      <c r="O10" s="121"/>
      <c r="P10" s="121"/>
      <c r="Q10" s="121"/>
      <c r="R10" s="121"/>
    </row>
    <row r="11" spans="1:18" ht="23.25">
      <c r="A11" s="15">
        <v>5</v>
      </c>
      <c r="B11" s="16" t="s">
        <v>38</v>
      </c>
      <c r="C11" s="76">
        <v>795</v>
      </c>
      <c r="D11" s="77">
        <v>4352.80053518</v>
      </c>
      <c r="E11" s="73">
        <v>5.990086486825402</v>
      </c>
      <c r="F11" s="71">
        <v>791</v>
      </c>
      <c r="G11" s="72">
        <v>4131</v>
      </c>
      <c r="H11" s="73">
        <v>5.746015275415095</v>
      </c>
      <c r="I11" s="74">
        <v>221.80053518000022</v>
      </c>
      <c r="J11" s="78">
        <v>5.369172964899546</v>
      </c>
      <c r="M11" s="121"/>
      <c r="N11" s="121"/>
      <c r="O11" s="121"/>
      <c r="P11" s="121"/>
      <c r="Q11" s="121"/>
      <c r="R11" s="121"/>
    </row>
    <row r="12" spans="1:18" ht="23.25">
      <c r="A12" s="15">
        <v>6</v>
      </c>
      <c r="B12" s="16" t="s">
        <v>24</v>
      </c>
      <c r="C12" s="71">
        <v>18</v>
      </c>
      <c r="D12" s="77">
        <v>2851.59544854</v>
      </c>
      <c r="E12" s="73">
        <v>3.924209994034545</v>
      </c>
      <c r="F12" s="71">
        <v>18</v>
      </c>
      <c r="G12" s="72">
        <v>2782.07</v>
      </c>
      <c r="H12" s="73">
        <v>3.8697208223853967</v>
      </c>
      <c r="I12" s="74">
        <v>69.52544853999962</v>
      </c>
      <c r="J12" s="78">
        <v>2.499054608259304</v>
      </c>
      <c r="M12" s="121"/>
      <c r="N12" s="121"/>
      <c r="O12" s="121"/>
      <c r="P12" s="121"/>
      <c r="Q12" s="121"/>
      <c r="R12" s="121"/>
    </row>
    <row r="13" spans="1:18" ht="23.25">
      <c r="A13" s="15">
        <v>7</v>
      </c>
      <c r="B13" s="23" t="s">
        <v>26</v>
      </c>
      <c r="C13" s="79">
        <v>3</v>
      </c>
      <c r="D13" s="77">
        <v>1893.01002</v>
      </c>
      <c r="E13" s="73">
        <v>2.6050570543219647</v>
      </c>
      <c r="F13" s="79">
        <v>2</v>
      </c>
      <c r="G13" s="80">
        <v>639.11</v>
      </c>
      <c r="H13" s="73">
        <v>0.8889701822005668</v>
      </c>
      <c r="I13" s="74">
        <v>1253.90002</v>
      </c>
      <c r="J13" s="78">
        <v>196.19471139553443</v>
      </c>
      <c r="M13" s="121"/>
      <c r="N13" s="121"/>
      <c r="O13" s="121"/>
      <c r="P13" s="121"/>
      <c r="Q13" s="121"/>
      <c r="R13" s="121"/>
    </row>
    <row r="14" spans="1:18" ht="23.25">
      <c r="A14" s="15">
        <v>8</v>
      </c>
      <c r="B14" s="23" t="s">
        <v>29</v>
      </c>
      <c r="C14" s="79">
        <v>11</v>
      </c>
      <c r="D14" s="77">
        <v>1793.2420313599998</v>
      </c>
      <c r="E14" s="73">
        <v>2.467761794467954</v>
      </c>
      <c r="F14" s="71">
        <v>6</v>
      </c>
      <c r="G14" s="72">
        <v>1778.91</v>
      </c>
      <c r="H14" s="73">
        <v>2.4743752199440006</v>
      </c>
      <c r="I14" s="74">
        <v>14.332031359999746</v>
      </c>
      <c r="J14" s="124">
        <v>0.8056636569584602</v>
      </c>
      <c r="M14" s="121"/>
      <c r="N14" s="121"/>
      <c r="O14" s="121"/>
      <c r="P14" s="121"/>
      <c r="Q14" s="121"/>
      <c r="R14" s="121"/>
    </row>
    <row r="15" spans="1:18" ht="23.25">
      <c r="A15" s="15">
        <v>9</v>
      </c>
      <c r="B15" s="16" t="s">
        <v>15</v>
      </c>
      <c r="C15" s="76">
        <v>269</v>
      </c>
      <c r="D15" s="77">
        <v>1432.36465</v>
      </c>
      <c r="E15" s="73">
        <v>1.9711420417330447</v>
      </c>
      <c r="F15" s="71">
        <v>270</v>
      </c>
      <c r="G15" s="72">
        <v>1435.35</v>
      </c>
      <c r="H15" s="73">
        <v>1.9965003692972783</v>
      </c>
      <c r="I15" s="74">
        <v>-2.985349999999926</v>
      </c>
      <c r="J15" s="78">
        <v>-0.2079875988434825</v>
      </c>
      <c r="M15" s="121"/>
      <c r="N15" s="121"/>
      <c r="O15" s="121"/>
      <c r="P15" s="121"/>
      <c r="Q15" s="121"/>
      <c r="R15" s="121"/>
    </row>
    <row r="16" spans="1:18" ht="23.25">
      <c r="A16" s="15">
        <v>10</v>
      </c>
      <c r="B16" s="16" t="s">
        <v>13</v>
      </c>
      <c r="C16" s="76">
        <v>19</v>
      </c>
      <c r="D16" s="77">
        <v>1046.23589</v>
      </c>
      <c r="E16" s="73">
        <v>1.439772720130303</v>
      </c>
      <c r="F16" s="79">
        <v>17</v>
      </c>
      <c r="G16" s="80">
        <v>942.05</v>
      </c>
      <c r="H16" s="73">
        <v>1.310344635731007</v>
      </c>
      <c r="I16" s="74">
        <v>104.18588999999997</v>
      </c>
      <c r="J16" s="78">
        <v>11.059486226845706</v>
      </c>
      <c r="M16" s="121"/>
      <c r="N16" s="121"/>
      <c r="O16" s="121"/>
      <c r="P16" s="121"/>
      <c r="Q16" s="121"/>
      <c r="R16" s="121"/>
    </row>
    <row r="17" spans="1:18" ht="23.25">
      <c r="A17" s="15">
        <v>11</v>
      </c>
      <c r="B17" s="16" t="s">
        <v>19</v>
      </c>
      <c r="C17" s="79">
        <v>1</v>
      </c>
      <c r="D17" s="77">
        <v>778.40541</v>
      </c>
      <c r="E17" s="73">
        <v>1.0711990338238575</v>
      </c>
      <c r="F17" s="71">
        <v>1</v>
      </c>
      <c r="G17" s="83">
        <v>803.28</v>
      </c>
      <c r="H17" s="73">
        <v>1.1173224765033738</v>
      </c>
      <c r="I17" s="74">
        <v>-24.874590000000012</v>
      </c>
      <c r="J17" s="78">
        <v>-3.09662757693457</v>
      </c>
      <c r="M17" s="121"/>
      <c r="N17" s="121"/>
      <c r="O17" s="121"/>
      <c r="P17" s="121"/>
      <c r="Q17" s="121"/>
      <c r="R17" s="121"/>
    </row>
    <row r="18" spans="1:18" ht="23.25">
      <c r="A18" s="15">
        <v>12</v>
      </c>
      <c r="B18" s="16" t="s">
        <v>20</v>
      </c>
      <c r="C18" s="71">
        <v>2</v>
      </c>
      <c r="D18" s="77">
        <v>632.13656</v>
      </c>
      <c r="E18" s="73">
        <v>0.8699118269446984</v>
      </c>
      <c r="F18" s="71">
        <v>2</v>
      </c>
      <c r="G18" s="83">
        <v>628.09</v>
      </c>
      <c r="H18" s="73">
        <v>0.8736419109986607</v>
      </c>
      <c r="I18" s="74">
        <v>4.0465599999999995</v>
      </c>
      <c r="J18" s="78">
        <v>0.6442643570188984</v>
      </c>
      <c r="M18" s="121"/>
      <c r="N18" s="121"/>
      <c r="O18" s="121"/>
      <c r="P18" s="121"/>
      <c r="Q18" s="121"/>
      <c r="R18" s="121"/>
    </row>
    <row r="19" spans="1:18" ht="23.25">
      <c r="A19" s="15">
        <v>13</v>
      </c>
      <c r="B19" s="16" t="s">
        <v>28</v>
      </c>
      <c r="C19" s="71">
        <v>2</v>
      </c>
      <c r="D19" s="77">
        <v>551.69888283</v>
      </c>
      <c r="E19" s="73">
        <v>0.7592178865370394</v>
      </c>
      <c r="F19" s="71">
        <v>2</v>
      </c>
      <c r="G19" s="83">
        <v>356.54</v>
      </c>
      <c r="H19" s="73">
        <v>0.4959293842402562</v>
      </c>
      <c r="I19" s="74">
        <v>195.15888282999998</v>
      </c>
      <c r="J19" s="78">
        <v>54.73688305099006</v>
      </c>
      <c r="M19" s="121"/>
      <c r="N19" s="121"/>
      <c r="O19" s="121"/>
      <c r="P19" s="121"/>
      <c r="Q19" s="121"/>
      <c r="R19" s="121"/>
    </row>
    <row r="20" spans="1:18" ht="23.25">
      <c r="A20" s="15">
        <v>14</v>
      </c>
      <c r="B20" s="16" t="s">
        <v>25</v>
      </c>
      <c r="C20" s="71">
        <v>58</v>
      </c>
      <c r="D20" s="77">
        <v>521.06091</v>
      </c>
      <c r="E20" s="73">
        <v>0.7170555807871121</v>
      </c>
      <c r="F20" s="71">
        <v>58</v>
      </c>
      <c r="G20" s="83">
        <v>524.3</v>
      </c>
      <c r="H20" s="73">
        <v>0.7292751897603811</v>
      </c>
      <c r="I20" s="74">
        <v>-3.239089999999919</v>
      </c>
      <c r="J20" s="78">
        <v>-0.6177932481403623</v>
      </c>
      <c r="M20" s="121"/>
      <c r="N20" s="121"/>
      <c r="O20" s="121"/>
      <c r="P20" s="121"/>
      <c r="Q20" s="121"/>
      <c r="R20" s="121"/>
    </row>
    <row r="21" spans="1:18" ht="23.25">
      <c r="A21" s="15">
        <v>15</v>
      </c>
      <c r="B21" s="16" t="s">
        <v>42</v>
      </c>
      <c r="C21" s="71">
        <v>3</v>
      </c>
      <c r="D21" s="77">
        <v>66.12853</v>
      </c>
      <c r="E21" s="73">
        <v>0.0910024731767884</v>
      </c>
      <c r="F21" s="71">
        <v>3</v>
      </c>
      <c r="G21" s="83">
        <v>66.12</v>
      </c>
      <c r="H21" s="73">
        <v>0.09196962721143696</v>
      </c>
      <c r="I21" s="74">
        <v>0.008529999999993265</v>
      </c>
      <c r="J21" s="78">
        <v>0.012900786448870636</v>
      </c>
      <c r="M21" s="121"/>
      <c r="N21" s="121"/>
      <c r="O21" s="121"/>
      <c r="P21" s="121"/>
      <c r="Q21" s="121"/>
      <c r="R21" s="121"/>
    </row>
    <row r="22" spans="1:18" ht="23.25">
      <c r="A22" s="15">
        <v>16</v>
      </c>
      <c r="B22" s="16" t="s">
        <v>59</v>
      </c>
      <c r="C22" s="71">
        <v>2</v>
      </c>
      <c r="D22" s="77">
        <v>12.04088</v>
      </c>
      <c r="E22" s="73">
        <v>0.0165700017711709</v>
      </c>
      <c r="F22" s="71">
        <v>2</v>
      </c>
      <c r="G22" s="83">
        <v>11.89</v>
      </c>
      <c r="H22" s="73">
        <v>0.016538397875740858</v>
      </c>
      <c r="I22" s="74">
        <v>0.15087999999999901</v>
      </c>
      <c r="J22" s="78">
        <v>1.268965517241371</v>
      </c>
      <c r="M22" s="121"/>
      <c r="N22" s="121"/>
      <c r="O22" s="121"/>
      <c r="P22" s="121"/>
      <c r="Q22" s="121"/>
      <c r="R22" s="121"/>
    </row>
    <row r="23" spans="1:18" ht="23.25">
      <c r="A23" s="15">
        <v>17</v>
      </c>
      <c r="B23" s="16" t="s">
        <v>53</v>
      </c>
      <c r="C23" s="71"/>
      <c r="D23" s="77"/>
      <c r="E23" s="73"/>
      <c r="F23" s="71"/>
      <c r="G23" s="83"/>
      <c r="H23" s="73"/>
      <c r="I23" s="74">
        <v>0</v>
      </c>
      <c r="J23" s="78">
        <v>0</v>
      </c>
      <c r="M23" s="121"/>
      <c r="N23" s="121"/>
      <c r="O23" s="121"/>
      <c r="P23" s="121"/>
      <c r="Q23" s="121"/>
      <c r="R23" s="121"/>
    </row>
    <row r="24" spans="1:18" ht="24" thickBot="1">
      <c r="A24" s="28">
        <v>18</v>
      </c>
      <c r="B24" s="29" t="s">
        <v>60</v>
      </c>
      <c r="C24" s="79"/>
      <c r="D24" s="77"/>
      <c r="E24" s="73"/>
      <c r="F24" s="71"/>
      <c r="G24" s="83"/>
      <c r="H24" s="73"/>
      <c r="I24" s="74">
        <v>0</v>
      </c>
      <c r="J24" s="125">
        <v>0</v>
      </c>
      <c r="M24" s="121"/>
      <c r="N24" s="121"/>
      <c r="O24" s="121"/>
      <c r="P24" s="121"/>
      <c r="Q24" s="121"/>
      <c r="R24" s="121"/>
    </row>
    <row r="25" spans="1:11" ht="24" thickBot="1">
      <c r="A25" s="47" t="s">
        <v>31</v>
      </c>
      <c r="B25" s="48"/>
      <c r="C25" s="86">
        <f aca="true" t="shared" si="0" ref="C25:I25">SUM(C7:C24)</f>
        <v>1417</v>
      </c>
      <c r="D25" s="87">
        <f t="shared" si="0"/>
        <v>72666.73936601</v>
      </c>
      <c r="E25" s="88">
        <f t="shared" si="0"/>
        <v>100</v>
      </c>
      <c r="F25" s="86">
        <f t="shared" si="0"/>
        <v>1406</v>
      </c>
      <c r="G25" s="87">
        <f t="shared" si="0"/>
        <v>71893.29999999999</v>
      </c>
      <c r="H25" s="88">
        <f>SUM(H7:H24)</f>
        <v>100.00000000000001</v>
      </c>
      <c r="I25" s="89">
        <f t="shared" si="0"/>
        <v>773.4393660099987</v>
      </c>
      <c r="J25" s="89">
        <f>(D25-G25)/G25*100</f>
        <v>1.075815640692551</v>
      </c>
      <c r="K25" s="31"/>
    </row>
    <row r="26" spans="1:11" ht="5.25" customHeight="1">
      <c r="A26" s="36"/>
      <c r="B26" s="37"/>
      <c r="C26" s="95"/>
      <c r="D26" s="96"/>
      <c r="E26" s="40"/>
      <c r="F26" s="95"/>
      <c r="G26" s="96"/>
      <c r="H26" s="40"/>
      <c r="I26" s="97"/>
      <c r="J26" s="42"/>
      <c r="K26" s="31"/>
    </row>
    <row r="27" spans="2:10" ht="21">
      <c r="B27" s="43" t="s">
        <v>54</v>
      </c>
      <c r="H27" s="44" t="s">
        <v>33</v>
      </c>
      <c r="J27" s="45"/>
    </row>
    <row r="28" spans="2:10" ht="21">
      <c r="B28" s="46" t="s">
        <v>61</v>
      </c>
      <c r="H28" s="44" t="s">
        <v>35</v>
      </c>
      <c r="J28" s="45"/>
    </row>
  </sheetData>
  <sheetProtection/>
  <mergeCells count="6">
    <mergeCell ref="A1:J1"/>
    <mergeCell ref="A2:J2"/>
    <mergeCell ref="C4:E4"/>
    <mergeCell ref="F4:H4"/>
    <mergeCell ref="I4:J4"/>
    <mergeCell ref="A25:B2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1">
      <selection activeCell="M9" sqref="M9"/>
    </sheetView>
  </sheetViews>
  <sheetFormatPr defaultColWidth="9.140625" defaultRowHeight="21.75"/>
  <cols>
    <col min="1" max="1" width="7.57421875" style="1" customWidth="1"/>
    <col min="2" max="2" width="48.00390625" style="46" bestFit="1" customWidth="1"/>
    <col min="3" max="3" width="10.421875" style="1" customWidth="1"/>
    <col min="4" max="4" width="12.8515625" style="1" customWidth="1"/>
    <col min="5" max="5" width="9.8515625" style="1" bestFit="1" customWidth="1"/>
    <col min="6" max="6" width="10.28125" style="1" customWidth="1"/>
    <col min="7" max="7" width="12.8515625" style="1" customWidth="1"/>
    <col min="8" max="8" width="9.28125" style="1" customWidth="1"/>
    <col min="9" max="9" width="12.8515625" style="1" customWidth="1"/>
    <col min="10" max="10" width="9.28125" style="1" customWidth="1"/>
    <col min="11" max="16384" width="9.140625" style="1" customWidth="1"/>
  </cols>
  <sheetData>
    <row r="1" spans="1:10" ht="23.25">
      <c r="A1" s="90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23.25">
      <c r="A2" s="90" t="s">
        <v>62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5.25" customHeight="1" thickBot="1">
      <c r="A3" s="2"/>
      <c r="B3" s="91"/>
      <c r="C3" s="3"/>
      <c r="D3" s="2"/>
      <c r="E3" s="2"/>
      <c r="F3" s="3"/>
      <c r="G3" s="3"/>
      <c r="H3" s="3"/>
      <c r="I3" s="2"/>
      <c r="J3" s="2"/>
    </row>
    <row r="4" spans="1:10" ht="22.5" customHeight="1" thickBot="1">
      <c r="A4" s="4"/>
      <c r="B4" s="92"/>
      <c r="C4" s="53" t="s">
        <v>63</v>
      </c>
      <c r="D4" s="127"/>
      <c r="E4" s="128"/>
      <c r="F4" s="53" t="s">
        <v>57</v>
      </c>
      <c r="G4" s="51"/>
      <c r="H4" s="52"/>
      <c r="I4" s="54" t="s">
        <v>4</v>
      </c>
      <c r="J4" s="52"/>
    </row>
    <row r="5" spans="1:10" ht="23.25">
      <c r="A5" s="5" t="s">
        <v>5</v>
      </c>
      <c r="B5" s="93" t="s">
        <v>6</v>
      </c>
      <c r="C5" s="6" t="s">
        <v>7</v>
      </c>
      <c r="D5" s="7" t="s">
        <v>8</v>
      </c>
      <c r="E5" s="8" t="s">
        <v>9</v>
      </c>
      <c r="F5" s="6" t="s">
        <v>7</v>
      </c>
      <c r="G5" s="7" t="s">
        <v>8</v>
      </c>
      <c r="H5" s="8" t="s">
        <v>9</v>
      </c>
      <c r="I5" s="9" t="s">
        <v>8</v>
      </c>
      <c r="J5" s="8" t="s">
        <v>10</v>
      </c>
    </row>
    <row r="6" spans="1:10" ht="24" thickBot="1">
      <c r="A6" s="10"/>
      <c r="B6" s="94"/>
      <c r="C6" s="11" t="s">
        <v>11</v>
      </c>
      <c r="D6" s="12" t="s">
        <v>12</v>
      </c>
      <c r="E6" s="13"/>
      <c r="F6" s="11" t="s">
        <v>11</v>
      </c>
      <c r="G6" s="12" t="s">
        <v>12</v>
      </c>
      <c r="H6" s="13"/>
      <c r="I6" s="14" t="s">
        <v>12</v>
      </c>
      <c r="J6" s="13"/>
    </row>
    <row r="7" spans="1:10" ht="23.25">
      <c r="A7" s="15">
        <v>1</v>
      </c>
      <c r="B7" s="16" t="s">
        <v>22</v>
      </c>
      <c r="C7" s="71">
        <v>159</v>
      </c>
      <c r="D7" s="72">
        <f>31536633.45/1000</f>
        <v>31536.633449999998</v>
      </c>
      <c r="E7" s="73">
        <f aca="true" t="shared" si="0" ref="E7:E24">(D7/$D$25)*100</f>
        <v>43.215312705775595</v>
      </c>
      <c r="F7" s="71">
        <v>160</v>
      </c>
      <c r="G7" s="77">
        <f>31841416.54*1000/1000000</f>
        <v>31841.41654</v>
      </c>
      <c r="H7" s="129">
        <f aca="true" t="shared" si="1" ref="H7:H24">(G7/$G$25)*100</f>
        <v>43.818419290316854</v>
      </c>
      <c r="I7" s="74">
        <f aca="true" t="shared" si="2" ref="I7:I24">(D7-G7)</f>
        <v>-304.7830900000008</v>
      </c>
      <c r="J7" s="122">
        <f aca="true" t="shared" si="3" ref="J7:J22">(D7-G7)/G7*100</f>
        <v>-0.9571907380977367</v>
      </c>
    </row>
    <row r="8" spans="1:10" ht="23.25">
      <c r="A8" s="15">
        <v>2</v>
      </c>
      <c r="B8" s="16" t="s">
        <v>14</v>
      </c>
      <c r="C8" s="76">
        <v>32</v>
      </c>
      <c r="D8" s="77">
        <f>12186991919/1000000</f>
        <v>12186.991919</v>
      </c>
      <c r="E8" s="73">
        <f t="shared" si="0"/>
        <v>16.700091579443626</v>
      </c>
      <c r="F8" s="76">
        <v>32</v>
      </c>
      <c r="G8" s="77">
        <f>12071260939.68/1000000</f>
        <v>12071.26093968</v>
      </c>
      <c r="H8" s="73">
        <f t="shared" si="1"/>
        <v>16.611810361930665</v>
      </c>
      <c r="I8" s="74">
        <f t="shared" si="2"/>
        <v>115.73097932000019</v>
      </c>
      <c r="J8" s="78">
        <f t="shared" si="3"/>
        <v>0.9587314854538148</v>
      </c>
    </row>
    <row r="9" spans="1:10" ht="23.25">
      <c r="A9" s="15">
        <v>3</v>
      </c>
      <c r="B9" s="16" t="s">
        <v>30</v>
      </c>
      <c r="C9" s="71">
        <v>39</v>
      </c>
      <c r="D9" s="72">
        <f>7025186.67/1000</f>
        <v>7025.18667</v>
      </c>
      <c r="E9" s="73">
        <f t="shared" si="0"/>
        <v>9.62676118368292</v>
      </c>
      <c r="F9" s="71">
        <v>40</v>
      </c>
      <c r="G9" s="77">
        <f>6965781.74*1000/1000000</f>
        <v>6965.78174</v>
      </c>
      <c r="H9" s="73">
        <f t="shared" si="1"/>
        <v>9.585928584072752</v>
      </c>
      <c r="I9" s="74">
        <f t="shared" si="2"/>
        <v>59.404929999999695</v>
      </c>
      <c r="J9" s="78">
        <f t="shared" si="3"/>
        <v>0.8528106710389076</v>
      </c>
    </row>
    <row r="10" spans="1:10" ht="23.25">
      <c r="A10" s="15">
        <v>4</v>
      </c>
      <c r="B10" s="16" t="s">
        <v>58</v>
      </c>
      <c r="C10" s="71">
        <v>2</v>
      </c>
      <c r="D10" s="72">
        <f>5906662.34/1000</f>
        <v>5906.66234</v>
      </c>
      <c r="E10" s="73">
        <f t="shared" si="0"/>
        <v>8.094023747817895</v>
      </c>
      <c r="F10" s="71">
        <v>2</v>
      </c>
      <c r="G10" s="77">
        <f>5857560398.42/1000000</f>
        <v>5857.56039842</v>
      </c>
      <c r="H10" s="73">
        <f t="shared" si="1"/>
        <v>8.060854869125839</v>
      </c>
      <c r="I10" s="74">
        <f t="shared" si="2"/>
        <v>49.10194158000013</v>
      </c>
      <c r="J10" s="78">
        <f t="shared" si="3"/>
        <v>0.8382660739314738</v>
      </c>
    </row>
    <row r="11" spans="1:10" ht="23.25">
      <c r="A11" s="15">
        <v>5</v>
      </c>
      <c r="B11" s="16" t="s">
        <v>38</v>
      </c>
      <c r="C11" s="76">
        <v>788</v>
      </c>
      <c r="D11" s="77">
        <f>4302563393.33/1000000</f>
        <v>4302.56339333</v>
      </c>
      <c r="E11" s="73">
        <f t="shared" si="0"/>
        <v>5.895893192720572</v>
      </c>
      <c r="F11" s="76">
        <v>795</v>
      </c>
      <c r="G11" s="77">
        <f>4352800535.18/1000000</f>
        <v>4352.80053518</v>
      </c>
      <c r="H11" s="73">
        <f t="shared" si="1"/>
        <v>5.990086486825402</v>
      </c>
      <c r="I11" s="74">
        <f t="shared" si="2"/>
        <v>-50.237141850000626</v>
      </c>
      <c r="J11" s="78">
        <f t="shared" si="3"/>
        <v>-1.1541337914286758</v>
      </c>
    </row>
    <row r="12" spans="1:10" ht="23.25">
      <c r="A12" s="15">
        <v>6</v>
      </c>
      <c r="B12" s="16" t="s">
        <v>24</v>
      </c>
      <c r="C12" s="71">
        <v>20</v>
      </c>
      <c r="D12" s="72">
        <f>2881537585.11/1000000</f>
        <v>2881.5375851100002</v>
      </c>
      <c r="E12" s="73">
        <f t="shared" si="0"/>
        <v>3.948631613181087</v>
      </c>
      <c r="F12" s="71">
        <v>18</v>
      </c>
      <c r="G12" s="77">
        <f>2851595448.54/1000000</f>
        <v>2851.59544854</v>
      </c>
      <c r="H12" s="73">
        <f t="shared" si="1"/>
        <v>3.924209994034545</v>
      </c>
      <c r="I12" s="74">
        <f t="shared" si="2"/>
        <v>29.942136570000457</v>
      </c>
      <c r="J12" s="78">
        <f t="shared" si="3"/>
        <v>1.0500134787818747</v>
      </c>
    </row>
    <row r="13" spans="1:10" ht="23.25">
      <c r="A13" s="15">
        <v>7</v>
      </c>
      <c r="B13" s="23" t="s">
        <v>26</v>
      </c>
      <c r="C13" s="79">
        <v>3</v>
      </c>
      <c r="D13" s="80">
        <f>1874387.73/1000</f>
        <v>1874.38773</v>
      </c>
      <c r="E13" s="73">
        <f t="shared" si="0"/>
        <v>2.5685129648427605</v>
      </c>
      <c r="F13" s="79">
        <v>3</v>
      </c>
      <c r="G13" s="77">
        <f>1893010.02*1000/1000000</f>
        <v>1893.01002</v>
      </c>
      <c r="H13" s="73">
        <f t="shared" si="1"/>
        <v>2.6050570543219647</v>
      </c>
      <c r="I13" s="74">
        <f t="shared" si="2"/>
        <v>-18.62229000000002</v>
      </c>
      <c r="J13" s="78">
        <f t="shared" si="3"/>
        <v>-0.9837396423289941</v>
      </c>
    </row>
    <row r="14" spans="1:10" ht="23.25">
      <c r="A14" s="15">
        <v>8</v>
      </c>
      <c r="B14" s="23" t="s">
        <v>29</v>
      </c>
      <c r="C14" s="79">
        <v>16</v>
      </c>
      <c r="D14" s="80">
        <f>1875510171.6/1000000</f>
        <v>1875.5101716</v>
      </c>
      <c r="E14" s="73">
        <f t="shared" si="0"/>
        <v>2.5700510701961705</v>
      </c>
      <c r="F14" s="71">
        <v>11</v>
      </c>
      <c r="G14" s="77">
        <f>1793242031.36/1000000</f>
        <v>1793.2420313599998</v>
      </c>
      <c r="H14" s="73">
        <f t="shared" si="1"/>
        <v>2.467761794467954</v>
      </c>
      <c r="I14" s="74">
        <f t="shared" si="2"/>
        <v>82.2681402400001</v>
      </c>
      <c r="J14" s="78">
        <f t="shared" si="3"/>
        <v>4.587676331543919</v>
      </c>
    </row>
    <row r="15" spans="1:10" ht="23.25">
      <c r="A15" s="15">
        <v>9</v>
      </c>
      <c r="B15" s="16" t="s">
        <v>15</v>
      </c>
      <c r="C15" s="76">
        <v>269</v>
      </c>
      <c r="D15" s="77">
        <f>1433976/1000</f>
        <v>1433.976</v>
      </c>
      <c r="E15" s="73">
        <f t="shared" si="0"/>
        <v>1.9650074999548586</v>
      </c>
      <c r="F15" s="76">
        <v>269</v>
      </c>
      <c r="G15" s="77">
        <f>1432364.65*1000/1000000</f>
        <v>1432.36465</v>
      </c>
      <c r="H15" s="73">
        <f t="shared" si="1"/>
        <v>1.9711420417330447</v>
      </c>
      <c r="I15" s="74">
        <f t="shared" si="2"/>
        <v>1.6113500000001295</v>
      </c>
      <c r="J15" s="78">
        <f t="shared" si="3"/>
        <v>0.11249579497791498</v>
      </c>
    </row>
    <row r="16" spans="1:10" ht="23.25">
      <c r="A16" s="15">
        <v>10</v>
      </c>
      <c r="B16" s="16" t="s">
        <v>13</v>
      </c>
      <c r="C16" s="76">
        <v>19</v>
      </c>
      <c r="D16" s="77">
        <f>1036370.31/1000</f>
        <v>1036.37031</v>
      </c>
      <c r="E16" s="73">
        <f t="shared" si="0"/>
        <v>1.4201600528046088</v>
      </c>
      <c r="F16" s="76">
        <v>19</v>
      </c>
      <c r="G16" s="77">
        <f>1046235.89*1000/1000000</f>
        <v>1046.23589</v>
      </c>
      <c r="H16" s="73">
        <f t="shared" si="1"/>
        <v>1.439772720130303</v>
      </c>
      <c r="I16" s="74">
        <f t="shared" si="2"/>
        <v>-9.865579999999909</v>
      </c>
      <c r="J16" s="78">
        <f t="shared" si="3"/>
        <v>-0.9429594314528734</v>
      </c>
    </row>
    <row r="17" spans="1:10" ht="23.25">
      <c r="A17" s="15">
        <v>11</v>
      </c>
      <c r="B17" s="16" t="s">
        <v>19</v>
      </c>
      <c r="C17" s="79">
        <v>1</v>
      </c>
      <c r="D17" s="80">
        <f>771355.93/1000</f>
        <v>771.3559300000001</v>
      </c>
      <c r="E17" s="73">
        <f t="shared" si="0"/>
        <v>1.0570052689756697</v>
      </c>
      <c r="F17" s="71">
        <v>1</v>
      </c>
      <c r="G17" s="77">
        <f>778405.41*1000/1000000</f>
        <v>778.40541</v>
      </c>
      <c r="H17" s="73">
        <f t="shared" si="1"/>
        <v>1.0711990338238575</v>
      </c>
      <c r="I17" s="74">
        <f t="shared" si="2"/>
        <v>-7.049479999999903</v>
      </c>
      <c r="J17" s="78">
        <f t="shared" si="3"/>
        <v>-0.9056309102476438</v>
      </c>
    </row>
    <row r="18" spans="1:10" ht="23.25">
      <c r="A18" s="15">
        <v>12</v>
      </c>
      <c r="B18" s="16" t="s">
        <v>20</v>
      </c>
      <c r="C18" s="71">
        <v>3</v>
      </c>
      <c r="D18" s="83">
        <f>838638.27/1000</f>
        <v>838.63827</v>
      </c>
      <c r="E18" s="73">
        <f t="shared" si="0"/>
        <v>1.149203675862893</v>
      </c>
      <c r="F18" s="71">
        <v>2</v>
      </c>
      <c r="G18" s="77">
        <f>632136.56*1000/1000000</f>
        <v>632.13656</v>
      </c>
      <c r="H18" s="73">
        <f t="shared" si="1"/>
        <v>0.8699118269446984</v>
      </c>
      <c r="I18" s="74">
        <f t="shared" si="2"/>
        <v>206.50171</v>
      </c>
      <c r="J18" s="78">
        <f t="shared" si="3"/>
        <v>32.667262592753694</v>
      </c>
    </row>
    <row r="19" spans="1:10" ht="23.25">
      <c r="A19" s="15">
        <v>13</v>
      </c>
      <c r="B19" s="16" t="s">
        <v>28</v>
      </c>
      <c r="C19" s="71">
        <v>2</v>
      </c>
      <c r="D19" s="83">
        <f>508275272.41/1000000</f>
        <v>508.27527241</v>
      </c>
      <c r="E19" s="73">
        <f t="shared" si="0"/>
        <v>0.6965003056726534</v>
      </c>
      <c r="F19" s="79">
        <v>2</v>
      </c>
      <c r="G19" s="77">
        <f>551698882.83/1000000</f>
        <v>551.69888283</v>
      </c>
      <c r="H19" s="73">
        <f t="shared" si="1"/>
        <v>0.7592178865370394</v>
      </c>
      <c r="I19" s="74">
        <f t="shared" si="2"/>
        <v>-43.42361041999999</v>
      </c>
      <c r="J19" s="78">
        <f t="shared" si="3"/>
        <v>-7.870889677581692</v>
      </c>
    </row>
    <row r="20" spans="1:10" ht="23.25">
      <c r="A20" s="15">
        <v>14</v>
      </c>
      <c r="B20" s="16" t="s">
        <v>25</v>
      </c>
      <c r="C20" s="71">
        <v>59</v>
      </c>
      <c r="D20" s="83">
        <f>719354.78/1000</f>
        <v>719.35478</v>
      </c>
      <c r="E20" s="73">
        <f t="shared" si="0"/>
        <v>0.9857469984353834</v>
      </c>
      <c r="F20" s="71">
        <v>58</v>
      </c>
      <c r="G20" s="77">
        <f>521060.91*1000/1000000</f>
        <v>521.06091</v>
      </c>
      <c r="H20" s="73">
        <f t="shared" si="1"/>
        <v>0.7170555807871121</v>
      </c>
      <c r="I20" s="74">
        <f t="shared" si="2"/>
        <v>198.29386999999997</v>
      </c>
      <c r="J20" s="78">
        <f t="shared" si="3"/>
        <v>38.055794667076434</v>
      </c>
    </row>
    <row r="21" spans="1:10" ht="23.25">
      <c r="A21" s="15">
        <v>15</v>
      </c>
      <c r="B21" s="16" t="s">
        <v>42</v>
      </c>
      <c r="C21" s="71">
        <v>3</v>
      </c>
      <c r="D21" s="83">
        <f>66361.6/1000</f>
        <v>66.36160000000001</v>
      </c>
      <c r="E21" s="73">
        <f t="shared" si="0"/>
        <v>0.09093669748238768</v>
      </c>
      <c r="F21" s="71">
        <v>3</v>
      </c>
      <c r="G21" s="77">
        <f>66128.53*1000/1000000</f>
        <v>66.12853</v>
      </c>
      <c r="H21" s="73">
        <f t="shared" si="1"/>
        <v>0.0910024731767884</v>
      </c>
      <c r="I21" s="74">
        <f t="shared" si="2"/>
        <v>0.2330700000000121</v>
      </c>
      <c r="J21" s="78">
        <f t="shared" si="3"/>
        <v>0.352449993973875</v>
      </c>
    </row>
    <row r="22" spans="1:10" ht="23.25">
      <c r="A22" s="15">
        <v>16</v>
      </c>
      <c r="B22" s="16" t="s">
        <v>59</v>
      </c>
      <c r="C22" s="71">
        <v>2</v>
      </c>
      <c r="D22" s="83">
        <f>11793.91/1000</f>
        <v>11.79391</v>
      </c>
      <c r="E22" s="73">
        <f t="shared" si="0"/>
        <v>0.01616144315092624</v>
      </c>
      <c r="F22" s="71">
        <v>2</v>
      </c>
      <c r="G22" s="77">
        <f>12040.88*1000/1000000</f>
        <v>12.04088</v>
      </c>
      <c r="H22" s="73">
        <f t="shared" si="1"/>
        <v>0.0165700017711709</v>
      </c>
      <c r="I22" s="74">
        <f t="shared" si="2"/>
        <v>-0.24696999999999925</v>
      </c>
      <c r="J22" s="78">
        <f t="shared" si="3"/>
        <v>-2.0510959331876015</v>
      </c>
    </row>
    <row r="23" spans="1:10" ht="23.25">
      <c r="A23" s="15">
        <v>17</v>
      </c>
      <c r="B23" s="16" t="s">
        <v>53</v>
      </c>
      <c r="C23" s="71" t="s">
        <v>64</v>
      </c>
      <c r="D23" s="83"/>
      <c r="E23" s="73">
        <f t="shared" si="0"/>
        <v>0</v>
      </c>
      <c r="F23" s="81">
        <v>0</v>
      </c>
      <c r="G23" s="77">
        <v>0</v>
      </c>
      <c r="H23" s="73">
        <f t="shared" si="1"/>
        <v>0</v>
      </c>
      <c r="I23" s="74">
        <f t="shared" si="2"/>
        <v>0</v>
      </c>
      <c r="J23" s="78">
        <v>0</v>
      </c>
    </row>
    <row r="24" spans="1:10" ht="24" thickBot="1">
      <c r="A24" s="28">
        <v>18</v>
      </c>
      <c r="B24" s="29" t="s">
        <v>60</v>
      </c>
      <c r="C24" s="79" t="s">
        <v>64</v>
      </c>
      <c r="D24" s="85"/>
      <c r="E24" s="73">
        <f t="shared" si="0"/>
        <v>0</v>
      </c>
      <c r="F24" s="76">
        <v>0</v>
      </c>
      <c r="G24" s="77">
        <v>0</v>
      </c>
      <c r="H24" s="130">
        <f t="shared" si="1"/>
        <v>0</v>
      </c>
      <c r="I24" s="74">
        <f t="shared" si="2"/>
        <v>0</v>
      </c>
      <c r="J24" s="125">
        <v>0</v>
      </c>
    </row>
    <row r="25" spans="1:11" ht="24" thickBot="1">
      <c r="A25" s="47" t="s">
        <v>31</v>
      </c>
      <c r="B25" s="48"/>
      <c r="C25" s="86">
        <f aca="true" t="shared" si="4" ref="C25:I25">SUM(C7:C24)</f>
        <v>1417</v>
      </c>
      <c r="D25" s="87">
        <f t="shared" si="4"/>
        <v>72975.59933145</v>
      </c>
      <c r="E25" s="88">
        <f t="shared" si="4"/>
        <v>100.00000000000003</v>
      </c>
      <c r="F25" s="131">
        <f t="shared" si="4"/>
        <v>1417</v>
      </c>
      <c r="G25" s="87">
        <f t="shared" si="4"/>
        <v>72666.73936601</v>
      </c>
      <c r="H25" s="88">
        <f t="shared" si="4"/>
        <v>100</v>
      </c>
      <c r="I25" s="89">
        <f t="shared" si="4"/>
        <v>308.8599654399994</v>
      </c>
      <c r="J25" s="89">
        <f>(D25-G25)/G25*100</f>
        <v>0.42503622446070216</v>
      </c>
      <c r="K25" s="31"/>
    </row>
    <row r="26" spans="1:11" ht="5.25" customHeight="1">
      <c r="A26" s="36"/>
      <c r="B26" s="37"/>
      <c r="C26" s="95"/>
      <c r="D26" s="96"/>
      <c r="E26" s="40"/>
      <c r="F26" s="95"/>
      <c r="G26" s="96"/>
      <c r="H26" s="40"/>
      <c r="I26" s="97"/>
      <c r="J26" s="42"/>
      <c r="K26" s="31"/>
    </row>
    <row r="27" spans="2:10" ht="21">
      <c r="B27" s="43" t="s">
        <v>32</v>
      </c>
      <c r="H27" s="44" t="s">
        <v>33</v>
      </c>
      <c r="J27" s="45"/>
    </row>
    <row r="28" spans="2:10" ht="21">
      <c r="B28" s="46" t="s">
        <v>65</v>
      </c>
      <c r="H28" s="44" t="s">
        <v>35</v>
      </c>
      <c r="J28" s="45"/>
    </row>
    <row r="32" spans="3:10" ht="21">
      <c r="C32" s="132"/>
      <c r="D32" s="133"/>
      <c r="E32" s="133"/>
      <c r="F32" s="132"/>
      <c r="G32" s="133"/>
      <c r="H32" s="133"/>
      <c r="I32" s="133"/>
      <c r="J32" s="133"/>
    </row>
    <row r="33" spans="3:10" ht="21">
      <c r="C33" s="133"/>
      <c r="D33" s="133"/>
      <c r="E33" s="133"/>
      <c r="F33" s="133"/>
      <c r="G33" s="133"/>
      <c r="H33" s="133"/>
      <c r="I33" s="133"/>
      <c r="J33" s="133"/>
    </row>
    <row r="34" spans="2:5" ht="21">
      <c r="B34" s="134"/>
      <c r="C34" s="135"/>
      <c r="D34" s="136"/>
      <c r="E34" s="136"/>
    </row>
    <row r="35" spans="2:5" ht="21">
      <c r="B35" s="134"/>
      <c r="C35" s="135"/>
      <c r="D35" s="136"/>
      <c r="E35" s="136"/>
    </row>
    <row r="36" spans="3:5" ht="21">
      <c r="C36" s="137"/>
      <c r="D36" s="137"/>
      <c r="E36" s="137"/>
    </row>
    <row r="37" ht="21">
      <c r="D37" s="136"/>
    </row>
  </sheetData>
  <sheetProtection/>
  <mergeCells count="6">
    <mergeCell ref="A1:J1"/>
    <mergeCell ref="A2:J2"/>
    <mergeCell ref="C4:E4"/>
    <mergeCell ref="F4:H4"/>
    <mergeCell ref="I4:J4"/>
    <mergeCell ref="A25:B25"/>
  </mergeCells>
  <printOptions horizontalCentered="1"/>
  <pageMargins left="0.29" right="0.29" top="0.1968503937007874" bottom="0.1968503937007874" header="0.19" footer="0.21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="75" zoomScaleNormal="75" zoomScalePageLayoutView="0" workbookViewId="0" topLeftCell="A4">
      <selection activeCell="N9" sqref="N9"/>
    </sheetView>
  </sheetViews>
  <sheetFormatPr defaultColWidth="9.140625" defaultRowHeight="21.75"/>
  <cols>
    <col min="1" max="1" width="6.57421875" style="1" customWidth="1"/>
    <col min="2" max="2" width="51.57421875" style="46" customWidth="1"/>
    <col min="3" max="3" width="10.28125" style="1" customWidth="1"/>
    <col min="4" max="4" width="12.8515625" style="1" customWidth="1"/>
    <col min="5" max="5" width="9.28125" style="1" customWidth="1"/>
    <col min="6" max="6" width="10.28125" style="1" customWidth="1"/>
    <col min="7" max="7" width="12.8515625" style="1" customWidth="1"/>
    <col min="8" max="8" width="9.28125" style="1" customWidth="1"/>
    <col min="9" max="9" width="13.421875" style="1" customWidth="1"/>
    <col min="10" max="10" width="9.28125" style="1" customWidth="1"/>
    <col min="11" max="11" width="9.140625" style="1" customWidth="1"/>
    <col min="12" max="12" width="16.28125" style="1" bestFit="1" customWidth="1"/>
    <col min="13" max="16384" width="9.140625" style="1" customWidth="1"/>
  </cols>
  <sheetData>
    <row r="1" spans="1:10" ht="23.25">
      <c r="A1" s="90" t="s">
        <v>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3.25">
      <c r="A2" s="90" t="s">
        <v>66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5.25" customHeight="1" thickBot="1">
      <c r="A3" s="2"/>
      <c r="B3" s="91"/>
      <c r="C3" s="3"/>
      <c r="D3" s="2"/>
      <c r="E3" s="2"/>
      <c r="F3" s="3"/>
      <c r="G3" s="3"/>
      <c r="H3" s="3"/>
      <c r="I3" s="2"/>
      <c r="J3" s="2"/>
    </row>
    <row r="4" spans="1:10" ht="22.5" customHeight="1" thickBot="1">
      <c r="A4" s="4"/>
      <c r="B4" s="92"/>
      <c r="C4" s="53" t="s">
        <v>67</v>
      </c>
      <c r="D4" s="51"/>
      <c r="E4" s="52"/>
      <c r="F4" s="53" t="s">
        <v>68</v>
      </c>
      <c r="G4" s="51"/>
      <c r="H4" s="52"/>
      <c r="I4" s="54" t="s">
        <v>4</v>
      </c>
      <c r="J4" s="52"/>
    </row>
    <row r="5" spans="1:10" ht="23.25">
      <c r="A5" s="5" t="s">
        <v>5</v>
      </c>
      <c r="B5" s="93" t="s">
        <v>6</v>
      </c>
      <c r="C5" s="6" t="s">
        <v>7</v>
      </c>
      <c r="D5" s="7" t="s">
        <v>8</v>
      </c>
      <c r="E5" s="8" t="s">
        <v>9</v>
      </c>
      <c r="F5" s="6" t="s">
        <v>7</v>
      </c>
      <c r="G5" s="7" t="s">
        <v>8</v>
      </c>
      <c r="H5" s="8" t="s">
        <v>9</v>
      </c>
      <c r="I5" s="9" t="s">
        <v>8</v>
      </c>
      <c r="J5" s="8" t="s">
        <v>10</v>
      </c>
    </row>
    <row r="6" spans="1:10" ht="24" thickBot="1">
      <c r="A6" s="10"/>
      <c r="B6" s="94"/>
      <c r="C6" s="11" t="s">
        <v>11</v>
      </c>
      <c r="D6" s="12" t="s">
        <v>12</v>
      </c>
      <c r="E6" s="13"/>
      <c r="F6" s="11" t="s">
        <v>11</v>
      </c>
      <c r="G6" s="12" t="s">
        <v>12</v>
      </c>
      <c r="H6" s="13"/>
      <c r="I6" s="14" t="s">
        <v>12</v>
      </c>
      <c r="J6" s="13"/>
    </row>
    <row r="7" spans="1:10" ht="23.25">
      <c r="A7" s="15">
        <v>1</v>
      </c>
      <c r="B7" s="16" t="s">
        <v>22</v>
      </c>
      <c r="C7" s="76">
        <v>158</v>
      </c>
      <c r="D7" s="77">
        <f>33971751.81/1000</f>
        <v>33971.75181</v>
      </c>
      <c r="E7" s="73">
        <f aca="true" t="shared" si="0" ref="E7:E25">(D7/$D$26)*100</f>
        <v>43.01290952410339</v>
      </c>
      <c r="F7" s="76">
        <v>159</v>
      </c>
      <c r="G7" s="138">
        <v>31536.633449999998</v>
      </c>
      <c r="H7" s="129">
        <f aca="true" t="shared" si="1" ref="H7:H20">(G7/$G$26)*100</f>
        <v>43.215312705775595</v>
      </c>
      <c r="I7" s="74">
        <f aca="true" t="shared" si="2" ref="I7:I25">(D7-G7)</f>
        <v>2435.118360000004</v>
      </c>
      <c r="J7" s="122">
        <f aca="true" t="shared" si="3" ref="J7:J20">(D7-G7)/G7*100</f>
        <v>7.721554565615831</v>
      </c>
    </row>
    <row r="8" spans="1:12" ht="23.25">
      <c r="A8" s="15">
        <v>2</v>
      </c>
      <c r="B8" s="16" t="s">
        <v>14</v>
      </c>
      <c r="C8" s="76">
        <v>32</v>
      </c>
      <c r="D8" s="77">
        <f>12260521300.29/1000000</f>
        <v>12260.521300290002</v>
      </c>
      <c r="E8" s="73">
        <f t="shared" si="0"/>
        <v>15.523506010440158</v>
      </c>
      <c r="F8" s="76">
        <v>32</v>
      </c>
      <c r="G8" s="138">
        <v>12186.991919</v>
      </c>
      <c r="H8" s="73">
        <f t="shared" si="1"/>
        <v>16.700091579443626</v>
      </c>
      <c r="I8" s="74">
        <f t="shared" si="2"/>
        <v>73.52938129000177</v>
      </c>
      <c r="J8" s="78">
        <f t="shared" si="3"/>
        <v>0.6033431529183717</v>
      </c>
      <c r="L8" s="121"/>
    </row>
    <row r="9" spans="1:12" ht="23.25">
      <c r="A9" s="15">
        <v>3</v>
      </c>
      <c r="B9" s="16" t="s">
        <v>30</v>
      </c>
      <c r="C9" s="76">
        <v>42</v>
      </c>
      <c r="D9" s="77">
        <f>9596096.16/1000</f>
        <v>9596.096160000001</v>
      </c>
      <c r="E9" s="73">
        <f t="shared" si="0"/>
        <v>12.14997737600262</v>
      </c>
      <c r="F9" s="76">
        <v>39</v>
      </c>
      <c r="G9" s="138">
        <v>7025.18667</v>
      </c>
      <c r="H9" s="73">
        <f t="shared" si="1"/>
        <v>9.62676118368292</v>
      </c>
      <c r="I9" s="74">
        <f t="shared" si="2"/>
        <v>2570.909490000001</v>
      </c>
      <c r="J9" s="78">
        <f t="shared" si="3"/>
        <v>36.59560394286293</v>
      </c>
      <c r="L9" s="121"/>
    </row>
    <row r="10" spans="1:12" ht="23.25">
      <c r="A10" s="15">
        <v>4</v>
      </c>
      <c r="B10" s="16" t="s">
        <v>58</v>
      </c>
      <c r="C10" s="71">
        <v>2</v>
      </c>
      <c r="D10" s="72">
        <f>5946476356.46/1000000</f>
        <v>5946.47635646</v>
      </c>
      <c r="E10" s="73">
        <f t="shared" si="0"/>
        <v>7.529056815737816</v>
      </c>
      <c r="F10" s="76">
        <v>2</v>
      </c>
      <c r="G10" s="138">
        <v>5906.66234</v>
      </c>
      <c r="H10" s="73">
        <f t="shared" si="1"/>
        <v>8.094023747817895</v>
      </c>
      <c r="I10" s="74">
        <f t="shared" si="2"/>
        <v>39.81401645999995</v>
      </c>
      <c r="J10" s="78">
        <f t="shared" si="3"/>
        <v>0.6740526911514625</v>
      </c>
      <c r="L10" s="121"/>
    </row>
    <row r="11" spans="1:10" ht="23.25" customHeight="1">
      <c r="A11" s="15">
        <v>5</v>
      </c>
      <c r="B11" s="16" t="s">
        <v>38</v>
      </c>
      <c r="C11" s="76">
        <v>787</v>
      </c>
      <c r="D11" s="77">
        <f>4190285855.11/1000000</f>
        <v>4190.28585511</v>
      </c>
      <c r="E11" s="73">
        <f t="shared" si="0"/>
        <v>5.305478132950502</v>
      </c>
      <c r="F11" s="76">
        <v>788</v>
      </c>
      <c r="G11" s="138">
        <v>4302.56339333</v>
      </c>
      <c r="H11" s="73">
        <f t="shared" si="1"/>
        <v>5.895893192720572</v>
      </c>
      <c r="I11" s="74">
        <f t="shared" si="2"/>
        <v>-112.27753821999977</v>
      </c>
      <c r="J11" s="78">
        <f t="shared" si="3"/>
        <v>-2.6095498881912293</v>
      </c>
    </row>
    <row r="12" spans="1:12" ht="23.25">
      <c r="A12" s="15">
        <v>6</v>
      </c>
      <c r="B12" s="16" t="s">
        <v>24</v>
      </c>
      <c r="C12" s="71">
        <v>21</v>
      </c>
      <c r="D12" s="72">
        <f>3397084807.93/1000000</f>
        <v>3397.08480793</v>
      </c>
      <c r="E12" s="73">
        <f t="shared" si="0"/>
        <v>4.301176527675781</v>
      </c>
      <c r="F12" s="76">
        <v>20</v>
      </c>
      <c r="G12" s="138">
        <v>2881.5375851100002</v>
      </c>
      <c r="H12" s="73">
        <f t="shared" si="1"/>
        <v>3.948631613181087</v>
      </c>
      <c r="I12" s="74">
        <f t="shared" si="2"/>
        <v>515.5472228199997</v>
      </c>
      <c r="J12" s="78">
        <f t="shared" si="3"/>
        <v>17.891393313209868</v>
      </c>
      <c r="L12" s="136"/>
    </row>
    <row r="13" spans="1:10" ht="23.25">
      <c r="A13" s="15">
        <v>7</v>
      </c>
      <c r="B13" s="23" t="s">
        <v>26</v>
      </c>
      <c r="C13" s="79">
        <v>3</v>
      </c>
      <c r="D13" s="80">
        <f>2112632.45/1000</f>
        <v>2112.63245</v>
      </c>
      <c r="E13" s="73">
        <f t="shared" si="0"/>
        <v>2.674883207017486</v>
      </c>
      <c r="F13" s="76">
        <v>3</v>
      </c>
      <c r="G13" s="138">
        <v>1874.38773</v>
      </c>
      <c r="H13" s="73">
        <f t="shared" si="1"/>
        <v>2.5685129648427605</v>
      </c>
      <c r="I13" s="74">
        <f t="shared" si="2"/>
        <v>238.24472000000014</v>
      </c>
      <c r="J13" s="78">
        <f t="shared" si="3"/>
        <v>12.710535615808805</v>
      </c>
    </row>
    <row r="14" spans="1:10" ht="23.25">
      <c r="A14" s="15">
        <v>8</v>
      </c>
      <c r="B14" s="23" t="s">
        <v>29</v>
      </c>
      <c r="C14" s="79">
        <v>18</v>
      </c>
      <c r="D14" s="80">
        <f>1861203736.11/1000000</f>
        <v>1861.20373611</v>
      </c>
      <c r="E14" s="73">
        <f t="shared" si="0"/>
        <v>2.356539879219806</v>
      </c>
      <c r="F14" s="76">
        <v>16</v>
      </c>
      <c r="G14" s="138">
        <v>1875.5101716</v>
      </c>
      <c r="H14" s="73">
        <f t="shared" si="1"/>
        <v>2.5700510701961705</v>
      </c>
      <c r="I14" s="74">
        <f t="shared" si="2"/>
        <v>-14.306435490000013</v>
      </c>
      <c r="J14" s="78">
        <f t="shared" si="3"/>
        <v>-0.762802340751646</v>
      </c>
    </row>
    <row r="15" spans="1:12" ht="23.25">
      <c r="A15" s="15">
        <v>9</v>
      </c>
      <c r="B15" s="16" t="s">
        <v>15</v>
      </c>
      <c r="C15" s="71">
        <v>268</v>
      </c>
      <c r="D15" s="72">
        <f>1364633.99/1000</f>
        <v>1364.63399</v>
      </c>
      <c r="E15" s="73">
        <f t="shared" si="0"/>
        <v>1.727814293289052</v>
      </c>
      <c r="F15" s="76">
        <v>269</v>
      </c>
      <c r="G15" s="138">
        <v>1433.976</v>
      </c>
      <c r="H15" s="73">
        <f t="shared" si="1"/>
        <v>1.9650074999548586</v>
      </c>
      <c r="I15" s="74">
        <f t="shared" si="2"/>
        <v>-69.34201000000007</v>
      </c>
      <c r="J15" s="78">
        <f t="shared" si="3"/>
        <v>-4.835646482228438</v>
      </c>
      <c r="L15" s="136"/>
    </row>
    <row r="16" spans="1:10" ht="23.25">
      <c r="A16" s="15">
        <v>10</v>
      </c>
      <c r="B16" s="16" t="s">
        <v>13</v>
      </c>
      <c r="C16" s="71">
        <v>16</v>
      </c>
      <c r="D16" s="72">
        <f>1033744.63/1000</f>
        <v>1033.74463</v>
      </c>
      <c r="E16" s="73">
        <f t="shared" si="0"/>
        <v>1.308862860234635</v>
      </c>
      <c r="F16" s="76">
        <v>19</v>
      </c>
      <c r="G16" s="138">
        <v>1036.37031</v>
      </c>
      <c r="H16" s="73">
        <f t="shared" si="1"/>
        <v>1.4201600528046088</v>
      </c>
      <c r="I16" s="74">
        <f t="shared" si="2"/>
        <v>-2.625680000000102</v>
      </c>
      <c r="J16" s="78">
        <f t="shared" si="3"/>
        <v>-0.2533534562563937</v>
      </c>
    </row>
    <row r="17" spans="1:10" ht="23.25">
      <c r="A17" s="15">
        <v>11</v>
      </c>
      <c r="B17" s="16" t="s">
        <v>19</v>
      </c>
      <c r="C17" s="79">
        <v>1</v>
      </c>
      <c r="D17" s="80">
        <f>938447.99/1000</f>
        <v>938.44799</v>
      </c>
      <c r="E17" s="73">
        <f t="shared" si="0"/>
        <v>1.1882042089764897</v>
      </c>
      <c r="F17" s="76">
        <v>1</v>
      </c>
      <c r="G17" s="138">
        <v>771.3559300000001</v>
      </c>
      <c r="H17" s="73">
        <f t="shared" si="1"/>
        <v>1.0570052689756697</v>
      </c>
      <c r="I17" s="74">
        <f t="shared" si="2"/>
        <v>167.09205999999995</v>
      </c>
      <c r="J17" s="78">
        <f t="shared" si="3"/>
        <v>21.662121661526598</v>
      </c>
    </row>
    <row r="18" spans="1:10" ht="23.25">
      <c r="A18" s="15">
        <v>12</v>
      </c>
      <c r="B18" s="16" t="s">
        <v>20</v>
      </c>
      <c r="C18" s="71">
        <v>3</v>
      </c>
      <c r="D18" s="83">
        <f>844498.4/1000</f>
        <v>844.4984000000001</v>
      </c>
      <c r="E18" s="73">
        <f t="shared" si="0"/>
        <v>1.0692511082621758</v>
      </c>
      <c r="F18" s="76">
        <v>3</v>
      </c>
      <c r="G18" s="138">
        <v>838.63827</v>
      </c>
      <c r="H18" s="73">
        <f t="shared" si="1"/>
        <v>1.149203675862893</v>
      </c>
      <c r="I18" s="74">
        <f t="shared" si="2"/>
        <v>5.8601300000000265</v>
      </c>
      <c r="J18" s="78">
        <f t="shared" si="3"/>
        <v>0.6987673004715163</v>
      </c>
    </row>
    <row r="19" spans="1:10" ht="23.25">
      <c r="A19" s="15">
        <v>13</v>
      </c>
      <c r="B19" s="16" t="s">
        <v>28</v>
      </c>
      <c r="C19" s="71">
        <v>2</v>
      </c>
      <c r="D19" s="83">
        <f>500824648.71/1000000</f>
        <v>500.82464870999996</v>
      </c>
      <c r="E19" s="73">
        <f t="shared" si="0"/>
        <v>0.6341128777487114</v>
      </c>
      <c r="F19" s="76">
        <v>2</v>
      </c>
      <c r="G19" s="138">
        <v>508.27527241</v>
      </c>
      <c r="H19" s="73">
        <f t="shared" si="1"/>
        <v>0.6965003056726534</v>
      </c>
      <c r="I19" s="74">
        <f t="shared" si="2"/>
        <v>-7.450623700000051</v>
      </c>
      <c r="J19" s="78">
        <f t="shared" si="3"/>
        <v>-1.4658638939236077</v>
      </c>
    </row>
    <row r="20" spans="1:10" ht="23.25">
      <c r="A20" s="15">
        <v>14</v>
      </c>
      <c r="B20" s="16" t="s">
        <v>25</v>
      </c>
      <c r="C20" s="71">
        <v>59</v>
      </c>
      <c r="D20" s="83">
        <f>714058.52/1000</f>
        <v>714.05852</v>
      </c>
      <c r="E20" s="73">
        <f t="shared" si="0"/>
        <v>0.9040962823304923</v>
      </c>
      <c r="F20" s="76">
        <v>59</v>
      </c>
      <c r="G20" s="138">
        <v>719.35478</v>
      </c>
      <c r="H20" s="73">
        <f t="shared" si="1"/>
        <v>0.9857469984353834</v>
      </c>
      <c r="I20" s="74">
        <f t="shared" si="2"/>
        <v>-5.296259999999961</v>
      </c>
      <c r="J20" s="78">
        <f t="shared" si="3"/>
        <v>-0.7362514502232071</v>
      </c>
    </row>
    <row r="21" spans="1:12" ht="23.25">
      <c r="A21" s="139">
        <v>15</v>
      </c>
      <c r="B21" s="16" t="s">
        <v>69</v>
      </c>
      <c r="C21" s="71">
        <v>6</v>
      </c>
      <c r="D21" s="140">
        <f>168105.77/1000</f>
        <v>168.10576999999998</v>
      </c>
      <c r="E21" s="73">
        <f t="shared" si="0"/>
        <v>0.2128450224153964</v>
      </c>
      <c r="F21" s="76"/>
      <c r="G21" s="138">
        <v>0</v>
      </c>
      <c r="H21" s="73">
        <v>0</v>
      </c>
      <c r="I21" s="74">
        <f t="shared" si="2"/>
        <v>168.10576999999998</v>
      </c>
      <c r="J21" s="78">
        <v>0</v>
      </c>
      <c r="L21" s="121"/>
    </row>
    <row r="22" spans="1:10" ht="23.25">
      <c r="A22" s="15">
        <v>16</v>
      </c>
      <c r="B22" s="23" t="s">
        <v>42</v>
      </c>
      <c r="C22" s="71">
        <v>3</v>
      </c>
      <c r="D22" s="83">
        <f>66618.13/1000</f>
        <v>66.61813000000001</v>
      </c>
      <c r="E22" s="73">
        <f t="shared" si="0"/>
        <v>0.0843477137823514</v>
      </c>
      <c r="F22" s="76">
        <v>3</v>
      </c>
      <c r="G22" s="138">
        <v>66.36160000000001</v>
      </c>
      <c r="H22" s="73">
        <f>(G22/$G$26)*100</f>
        <v>0.09093669748238768</v>
      </c>
      <c r="I22" s="74">
        <f t="shared" si="2"/>
        <v>0.2565299999999979</v>
      </c>
      <c r="J22" s="78">
        <f>(D22-G22)/G22*100</f>
        <v>0.3865639164818176</v>
      </c>
    </row>
    <row r="23" spans="1:10" ht="23.25">
      <c r="A23" s="15">
        <v>17</v>
      </c>
      <c r="B23" s="16" t="s">
        <v>59</v>
      </c>
      <c r="C23" s="71">
        <v>2</v>
      </c>
      <c r="D23" s="83">
        <f>13377.82/1000</f>
        <v>13.37782</v>
      </c>
      <c r="E23" s="73">
        <f t="shared" si="0"/>
        <v>0.01693815981312919</v>
      </c>
      <c r="F23" s="76">
        <v>2</v>
      </c>
      <c r="G23" s="138">
        <v>11.79391</v>
      </c>
      <c r="H23" s="73">
        <f>(G23/$G$26)*100</f>
        <v>0.01616144315092624</v>
      </c>
      <c r="I23" s="74">
        <f t="shared" si="2"/>
        <v>1.5839099999999995</v>
      </c>
      <c r="J23" s="78">
        <f>(D23-G23)/G23*100</f>
        <v>13.429897294451115</v>
      </c>
    </row>
    <row r="24" spans="1:10" ht="23.25">
      <c r="A24" s="15">
        <v>18</v>
      </c>
      <c r="B24" s="16" t="s">
        <v>53</v>
      </c>
      <c r="C24" s="71"/>
      <c r="D24" s="83"/>
      <c r="E24" s="73">
        <f t="shared" si="0"/>
        <v>0</v>
      </c>
      <c r="F24" s="76" t="s">
        <v>64</v>
      </c>
      <c r="G24" s="138">
        <v>0</v>
      </c>
      <c r="H24" s="73">
        <f>(G24/$G$26)*100</f>
        <v>0</v>
      </c>
      <c r="I24" s="74">
        <f t="shared" si="2"/>
        <v>0</v>
      </c>
      <c r="J24" s="124">
        <v>0</v>
      </c>
    </row>
    <row r="25" spans="1:10" ht="24" thickBot="1">
      <c r="A25" s="28">
        <v>19</v>
      </c>
      <c r="B25" s="16" t="s">
        <v>60</v>
      </c>
      <c r="C25" s="79"/>
      <c r="D25" s="85"/>
      <c r="E25" s="73">
        <f t="shared" si="0"/>
        <v>0</v>
      </c>
      <c r="F25" s="76" t="s">
        <v>64</v>
      </c>
      <c r="G25" s="138">
        <v>0</v>
      </c>
      <c r="H25" s="130">
        <f>(G25/$G$26)*100</f>
        <v>0</v>
      </c>
      <c r="I25" s="74">
        <f t="shared" si="2"/>
        <v>0</v>
      </c>
      <c r="J25" s="125">
        <v>0</v>
      </c>
    </row>
    <row r="26" spans="1:11" ht="24" thickBot="1">
      <c r="A26" s="47" t="s">
        <v>31</v>
      </c>
      <c r="B26" s="48"/>
      <c r="C26" s="86">
        <f aca="true" t="shared" si="4" ref="C26:I26">SUM(C7:C25)</f>
        <v>1423</v>
      </c>
      <c r="D26" s="87">
        <f t="shared" si="4"/>
        <v>78980.36237461</v>
      </c>
      <c r="E26" s="88">
        <f t="shared" si="4"/>
        <v>99.99999999999999</v>
      </c>
      <c r="F26" s="86">
        <f t="shared" si="4"/>
        <v>1417</v>
      </c>
      <c r="G26" s="87">
        <f t="shared" si="4"/>
        <v>72975.59933145</v>
      </c>
      <c r="H26" s="88">
        <f t="shared" si="4"/>
        <v>100.00000000000003</v>
      </c>
      <c r="I26" s="89">
        <f t="shared" si="4"/>
        <v>6004.763043160007</v>
      </c>
      <c r="J26" s="89">
        <f>(D26-G26)/G26*100</f>
        <v>8.228453206511952</v>
      </c>
      <c r="K26" s="31"/>
    </row>
    <row r="27" spans="1:11" ht="5.25" customHeight="1">
      <c r="A27" s="36"/>
      <c r="B27" s="37"/>
      <c r="C27" s="95"/>
      <c r="D27" s="96"/>
      <c r="E27" s="40"/>
      <c r="F27" s="95"/>
      <c r="G27" s="96"/>
      <c r="H27" s="40"/>
      <c r="I27" s="97"/>
      <c r="J27" s="42"/>
      <c r="K27" s="31"/>
    </row>
    <row r="28" spans="2:10" ht="21">
      <c r="B28" s="43" t="s">
        <v>32</v>
      </c>
      <c r="H28" s="44" t="s">
        <v>33</v>
      </c>
      <c r="J28" s="45"/>
    </row>
    <row r="29" spans="2:10" ht="21">
      <c r="B29" s="46" t="s">
        <v>70</v>
      </c>
      <c r="H29" s="44" t="s">
        <v>35</v>
      </c>
      <c r="J29" s="45"/>
    </row>
  </sheetData>
  <sheetProtection/>
  <mergeCells count="6">
    <mergeCell ref="A1:J1"/>
    <mergeCell ref="A2:J2"/>
    <mergeCell ref="C4:E4"/>
    <mergeCell ref="F4:H4"/>
    <mergeCell ref="I4:J4"/>
    <mergeCell ref="A26:B26"/>
  </mergeCells>
  <printOptions/>
  <pageMargins left="0.7480314960629921" right="0.7480314960629921" top="0.17" bottom="0.16" header="0.17" footer="0.16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Natakorn</cp:lastModifiedBy>
  <dcterms:created xsi:type="dcterms:W3CDTF">2002-05-30T03:42:36Z</dcterms:created>
  <dcterms:modified xsi:type="dcterms:W3CDTF">2019-12-13T08:48:43Z</dcterms:modified>
  <cp:category/>
  <cp:version/>
  <cp:contentType/>
  <cp:contentStatus/>
</cp:coreProperties>
</file>